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drawings/drawing1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VGBC-HP\Documents\MEGA\LOTUS Systems\LOTUS Interiors\2_ LOTUS Interiors V1\"/>
    </mc:Choice>
  </mc:AlternateContent>
  <workbookProtection workbookAlgorithmName="SHA-512" workbookHashValue="k4rjL51c3jUBj8QXGdwiqWUfZvTRmc/Y2bVHaR9iUO8xBf+mImAbek8CJ+uL6Jl1uhjz8eqnhvyukBA5iOxoPA==" workbookSaltValue="W0qEeGA3HJaB/VzOp4OnqQ==" workbookSpinCount="100000" lockStructure="1"/>
  <bookViews>
    <workbookView xWindow="0" yWindow="0" windowWidth="24000" windowHeight="9735" firstSheet="1" activeTab="1"/>
  </bookViews>
  <sheets>
    <sheet name="Submittals" sheetId="103" state="hidden" r:id="rId1"/>
    <sheet name="Home" sheetId="108" r:id="rId2"/>
    <sheet name="Acknowledgments" sheetId="115" r:id="rId3"/>
    <sheet name="Introduction" sheetId="20" r:id="rId4"/>
    <sheet name="Instructions" sheetId="22" r:id="rId5"/>
    <sheet name="Recommendations" sheetId="102" r:id="rId6"/>
    <sheet name="LOTUS Interiors Eligibility" sheetId="104" r:id="rId7"/>
    <sheet name="Project information" sheetId="11" r:id="rId8"/>
    <sheet name="Application Form" sheetId="114" r:id="rId9"/>
    <sheet name="Prov. Certification checklist" sheetId="105" r:id="rId10"/>
    <sheet name="Full Certification checklist " sheetId="79" r:id="rId11"/>
    <sheet name="LOTUS Interiors Scorecard" sheetId="25" r:id="rId12"/>
    <sheet name="Graphical Results" sheetId="57" r:id="rId13"/>
    <sheet name="Energy" sheetId="45" r:id="rId14"/>
    <sheet name="E-1 Space cooling" sheetId="8" r:id="rId15"/>
    <sheet name="E-2 Artificial Lighting" sheetId="7" r:id="rId16"/>
    <sheet name="E-3 Energy Efficient Appliances" sheetId="18" r:id="rId17"/>
    <sheet name="E-4 Energy Monitoring" sheetId="37" r:id="rId18"/>
    <sheet name="Water" sheetId="41" r:id="rId19"/>
    <sheet name="W-PR-1 &amp; W-1 Efficient Fixtures" sheetId="19" r:id="rId20"/>
    <sheet name="W-2 Drinking Water " sheetId="53" r:id="rId21"/>
    <sheet name="Materials" sheetId="46" r:id="rId22"/>
    <sheet name="Materials Glossary" sheetId="116" r:id="rId23"/>
    <sheet name="M-1 Sustainable Materials" sheetId="61" r:id="rId24"/>
    <sheet name="M-2 Sustainable Furniture" sheetId="69" r:id="rId25"/>
    <sheet name="Waste &amp; Pollution" sheetId="82" r:id="rId26"/>
    <sheet name="WP-1 Refrigerants" sheetId="83" r:id="rId27"/>
    <sheet name="WP-PR-1 &amp; WP-2 Fit-out Waste" sheetId="84" r:id="rId28"/>
    <sheet name="WP-3 Operation Waste Management" sheetId="85" r:id="rId29"/>
    <sheet name="Health &amp; Comfort" sheetId="47" r:id="rId30"/>
    <sheet name="H-PR-1 Indoor Smoking" sheetId="88" r:id="rId31"/>
    <sheet name="H-1 Fresh Air Supply" sheetId="30" r:id="rId32"/>
    <sheet name="H-2 CO2 Monitoring" sheetId="24" r:id="rId33"/>
    <sheet name="H-3 Low-VOC Emissions " sheetId="27" r:id="rId34"/>
    <sheet name="H-4 Removal of pollutants" sheetId="89" r:id="rId35"/>
    <sheet name="H-5 Interior Plants" sheetId="90" r:id="rId36"/>
    <sheet name="H-6 Green Cleaning" sheetId="91" r:id="rId37"/>
    <sheet name="H-7 Daylighting" sheetId="28" r:id="rId38"/>
    <sheet name="H-8 External Views" sheetId="92" r:id="rId39"/>
    <sheet name="H-9 Lighting Comfort" sheetId="94" r:id="rId40"/>
    <sheet name="H-10 Thermal Comfort" sheetId="95" r:id="rId41"/>
    <sheet name="H-11 Acoustic Comfort" sheetId="74" r:id="rId42"/>
    <sheet name="H-12 Post-occupancy Comfort" sheetId="96" r:id="rId43"/>
    <sheet name="Location &amp; Transportation" sheetId="49" r:id="rId44"/>
    <sheet name="LT-1 Base building " sheetId="93" r:id="rId45"/>
    <sheet name="LT-2 Tenancy lease" sheetId="97" r:id="rId46"/>
    <sheet name="LT-3 Green Transportation " sheetId="21" r:id="rId47"/>
    <sheet name="LT-4 Facilities and amenities " sheetId="98" r:id="rId48"/>
    <sheet name="Management" sheetId="50" r:id="rId49"/>
    <sheet name="Man-1 LOTUS AP" sheetId="35" r:id="rId50"/>
    <sheet name="Man-2 Construction Stage" sheetId="36" r:id="rId51"/>
    <sheet name="Man-3 Commissioning" sheetId="51" r:id="rId52"/>
    <sheet name="Man-4 Maintenance" sheetId="86" r:id="rId53"/>
    <sheet name="Man-5 Green Awareness " sheetId="87" r:id="rId54"/>
    <sheet name="Innovation" sheetId="52" r:id="rId55"/>
    <sheet name="Inn-1 Exceptional Performance " sheetId="71" r:id="rId56"/>
    <sheet name="Inn-2 Innovative Techniques" sheetId="72" r:id="rId57"/>
    <sheet name="Additional information" sheetId="113" r:id="rId58"/>
    <sheet name="Glossary" sheetId="110" r:id="rId59"/>
    <sheet name="Resources" sheetId="39" r:id="rId60"/>
    <sheet name="Feedback" sheetId="68" state="hidden" r:id="rId61"/>
  </sheets>
  <externalReferences>
    <externalReference r:id="rId62"/>
    <externalReference r:id="rId63"/>
    <externalReference r:id="rId64"/>
    <externalReference r:id="rId65"/>
    <externalReference r:id="rId66"/>
  </externalReferences>
  <definedNames>
    <definedName name="basic_services" localSheetId="2">'[1]LE-1 Site Selection'!$O$101:$O$128</definedName>
    <definedName name="basic_services" localSheetId="8">'[1]LE-1 Site Selection'!$O$101:$O$128</definedName>
    <definedName name="basic_services" localSheetId="44">'LT-1 Base building '!#REF!</definedName>
    <definedName name="basic_services" localSheetId="22">'[2]LE-1 Site Selection'!$O$101:$O$128</definedName>
    <definedName name="basic_services">'[3]LE-1 Site Selection'!$O$101:$O$128</definedName>
    <definedName name="buildingtype">'[2]H-1 Fresh Air Supply'!$P$70:$P$82</definedName>
    <definedName name="Locations" localSheetId="2">'[1]Rainfall Data'!$A$4:$A$68</definedName>
    <definedName name="Locations" localSheetId="8">'[1]Rainfall Data'!$A$4:$A$68</definedName>
    <definedName name="Locations" localSheetId="58">'[3]Rainfall Data'!$A$4:$A$68</definedName>
    <definedName name="Locations" localSheetId="22">'[2]Rainfall Data'!$A$4:$A$68</definedName>
    <definedName name="Locations">#REF!</definedName>
    <definedName name="_xlnm.Print_Area" localSheetId="8">'Application Form'!$A$1:$H$83</definedName>
    <definedName name="Process_type" localSheetId="22">'[4]W-1 Water Efficient Fixtures'!$M$207:$M$221</definedName>
    <definedName name="Process_type">'W-PR-1 &amp; W-1 Efficient Fixtures'!$M$201:$M$215</definedName>
    <definedName name="slope" localSheetId="2">'[1]LE-4 Heat Island Effect'!$M$34:$M$36</definedName>
    <definedName name="slope" localSheetId="8">'[1]LE-4 Heat Island Effect'!$M$34:$M$36</definedName>
    <definedName name="slope">'[3]LE-4 Heat Island Effect'!$M$34:$M$36</definedName>
    <definedName name="space_type_acoustic" localSheetId="22">'[4]H&amp;C BPC'!$P$247:$P$257</definedName>
    <definedName name="space_type_acoustic">'H-11 Acoustic Comfort'!$O$68:$O$78</definedName>
    <definedName name="space_types" localSheetId="2">'[5]E-2 Artificial Lighting'!$L$28:$L$37</definedName>
    <definedName name="space_types" localSheetId="8">'[5]E-2 Artificial Lighting'!$L$28:$L$37</definedName>
    <definedName name="space_types" localSheetId="58">'[5]E-2 Artificial Lighting'!$L$28:$L$37</definedName>
    <definedName name="space_types" localSheetId="22">'[4]E-2 Artificial Lighting'!$M$27:$M$36</definedName>
    <definedName name="space_types">'E-2 Artificial Lighting'!$L$28:$L$37</definedName>
    <definedName name="Sub_FC">Submittals!$D$197:$D$200</definedName>
    <definedName name="Sustainable_furniture">'M-2 Sustainable Furniture'!$M$41:$M$56</definedName>
    <definedName name="Sustainable_Materials">'M-1 Sustainable Materials'!$M$50:$M$67</definedName>
    <definedName name="toto" hidden="1">0</definedName>
    <definedName name="type_AC" localSheetId="2">'[1]E-3 Home Cooling'!$O$200:$O$204</definedName>
    <definedName name="type_AC" localSheetId="8">'[1]E-3 Home Cooling'!$O$200:$O$204</definedName>
    <definedName name="type_AC" localSheetId="58">'[3]E-3 Home Cooling'!$O$200:$O$204</definedName>
    <definedName name="type_AC" localSheetId="22">'[4]E-1 Space cooling'!$O$167:$O$175</definedName>
    <definedName name="type_AC">'E-1 Space cooling'!$O$85:$O$93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3" i="92" l="1"/>
  <c r="L63" i="69" l="1"/>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61" i="69"/>
  <c r="P67" i="69"/>
  <c r="P70" i="69"/>
  <c r="P73" i="69"/>
  <c r="P76" i="69"/>
  <c r="P79" i="69"/>
  <c r="P82" i="69"/>
  <c r="P85" i="69"/>
  <c r="P88" i="69"/>
  <c r="P91" i="69"/>
  <c r="P94" i="69"/>
  <c r="P97" i="69"/>
  <c r="P100" i="69"/>
  <c r="P103" i="69"/>
  <c r="O62" i="69"/>
  <c r="P61" i="69" s="1"/>
  <c r="O63" i="69"/>
  <c r="O64" i="69"/>
  <c r="P64" i="69" s="1"/>
  <c r="O65" i="69"/>
  <c r="O66" i="69"/>
  <c r="O67" i="69"/>
  <c r="O68" i="69"/>
  <c r="O69" i="69"/>
  <c r="O70" i="69"/>
  <c r="O71" i="69"/>
  <c r="O72" i="69"/>
  <c r="O73" i="69"/>
  <c r="O74" i="69"/>
  <c r="O75" i="69"/>
  <c r="O76" i="69"/>
  <c r="O77" i="69"/>
  <c r="O78" i="69"/>
  <c r="O79" i="69"/>
  <c r="O80" i="69"/>
  <c r="O81" i="69"/>
  <c r="O82" i="69"/>
  <c r="O83" i="69"/>
  <c r="O84" i="69"/>
  <c r="O85" i="69"/>
  <c r="O86" i="69"/>
  <c r="O87" i="69"/>
  <c r="O88" i="69"/>
  <c r="O89" i="69"/>
  <c r="O90" i="69"/>
  <c r="O91" i="69"/>
  <c r="O92" i="69"/>
  <c r="O93" i="69"/>
  <c r="O94" i="69"/>
  <c r="O95" i="69"/>
  <c r="O96" i="69"/>
  <c r="O97" i="69"/>
  <c r="O98" i="69"/>
  <c r="O99" i="69"/>
  <c r="O100" i="69"/>
  <c r="O101" i="69"/>
  <c r="O102" i="69"/>
  <c r="O103" i="69"/>
  <c r="O104" i="69"/>
  <c r="O105" i="69"/>
  <c r="O61" i="69"/>
  <c r="P126" i="61"/>
  <c r="P123" i="61"/>
  <c r="P120" i="61"/>
  <c r="P117" i="61"/>
  <c r="P114" i="61"/>
  <c r="P111" i="61"/>
  <c r="P108" i="61"/>
  <c r="P105" i="61"/>
  <c r="P102" i="61"/>
  <c r="P99" i="61"/>
  <c r="P96" i="61"/>
  <c r="P93" i="61"/>
  <c r="P90" i="61"/>
  <c r="P87" i="61"/>
  <c r="P84" i="61"/>
  <c r="P81" i="61"/>
  <c r="P78" i="61"/>
  <c r="P75" i="61"/>
  <c r="O72" i="61"/>
  <c r="P72" i="61" s="1"/>
  <c r="O73" i="61"/>
  <c r="O74" i="61"/>
  <c r="O129" i="61"/>
  <c r="O75" i="61"/>
  <c r="O76" i="61"/>
  <c r="O77" i="61"/>
  <c r="O78" i="61"/>
  <c r="O79" i="61"/>
  <c r="O80" i="61"/>
  <c r="O81" i="61"/>
  <c r="O82" i="61"/>
  <c r="O83" i="61"/>
  <c r="O84" i="61"/>
  <c r="O85" i="61"/>
  <c r="O86" i="61"/>
  <c r="O87" i="61"/>
  <c r="O88"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30" i="61"/>
  <c r="O131" i="61"/>
  <c r="L131" i="61"/>
  <c r="L128" i="61"/>
  <c r="L127" i="61"/>
  <c r="L126" i="61"/>
  <c r="L125" i="61"/>
  <c r="L124" i="61"/>
  <c r="L123" i="61"/>
  <c r="L122" i="61"/>
  <c r="L121" i="61"/>
  <c r="L120" i="61"/>
  <c r="L119" i="61"/>
  <c r="L118" i="61"/>
  <c r="L117" i="61"/>
  <c r="L116" i="61"/>
  <c r="L115" i="61"/>
  <c r="L114" i="61"/>
  <c r="L113" i="61"/>
  <c r="L112" i="61"/>
  <c r="L111" i="61"/>
  <c r="L110" i="61"/>
  <c r="L109" i="61"/>
  <c r="L108" i="61"/>
  <c r="L107" i="61"/>
  <c r="L106" i="61"/>
  <c r="L105" i="61"/>
  <c r="L104" i="61"/>
  <c r="L103" i="61"/>
  <c r="L102" i="61"/>
  <c r="L101" i="61"/>
  <c r="L100" i="61"/>
  <c r="L99" i="61"/>
  <c r="L98" i="61"/>
  <c r="L97" i="61"/>
  <c r="L96" i="61"/>
  <c r="L95" i="61"/>
  <c r="L94" i="61"/>
  <c r="L93" i="61"/>
  <c r="L92" i="61"/>
  <c r="L91" i="61"/>
  <c r="L90" i="61"/>
  <c r="L89" i="61"/>
  <c r="L88" i="61"/>
  <c r="L87" i="61"/>
  <c r="L86" i="61"/>
  <c r="L85" i="61"/>
  <c r="L84" i="61"/>
  <c r="L83" i="61"/>
  <c r="L82" i="61"/>
  <c r="L81" i="61"/>
  <c r="L80" i="61"/>
  <c r="L79" i="61"/>
  <c r="L78" i="61"/>
  <c r="L77" i="61"/>
  <c r="L76" i="61"/>
  <c r="L75" i="61"/>
  <c r="L74" i="61"/>
  <c r="N131" i="61"/>
  <c r="N130" i="61"/>
  <c r="L130" i="61" s="1"/>
  <c r="N129" i="61"/>
  <c r="L129" i="61" s="1"/>
  <c r="N128" i="61"/>
  <c r="N127" i="61"/>
  <c r="N126" i="61"/>
  <c r="N125" i="61"/>
  <c r="N124" i="61"/>
  <c r="N123" i="61"/>
  <c r="N122" i="61"/>
  <c r="N121" i="61"/>
  <c r="N120" i="61"/>
  <c r="N119" i="61"/>
  <c r="N118" i="61"/>
  <c r="N117" i="61"/>
  <c r="N116" i="61"/>
  <c r="N115" i="61"/>
  <c r="N114" i="61"/>
  <c r="N113" i="61"/>
  <c r="N112" i="61"/>
  <c r="N111" i="61"/>
  <c r="N110" i="61"/>
  <c r="N109" i="61"/>
  <c r="N108" i="61"/>
  <c r="N107" i="61"/>
  <c r="N106" i="61"/>
  <c r="N105" i="61"/>
  <c r="N104" i="61"/>
  <c r="N103" i="61"/>
  <c r="N102" i="61"/>
  <c r="N101" i="61"/>
  <c r="N100" i="61"/>
  <c r="N99" i="61"/>
  <c r="N98" i="61"/>
  <c r="N97" i="61"/>
  <c r="N96" i="61"/>
  <c r="N95" i="61"/>
  <c r="N94" i="61"/>
  <c r="N93" i="61"/>
  <c r="N92" i="61"/>
  <c r="N91" i="61"/>
  <c r="N90" i="61"/>
  <c r="N89" i="61"/>
  <c r="N88" i="61"/>
  <c r="N87" i="61"/>
  <c r="N86" i="61"/>
  <c r="N85" i="61"/>
  <c r="N84" i="61"/>
  <c r="N83" i="61"/>
  <c r="N82" i="61"/>
  <c r="N81" i="61"/>
  <c r="N80" i="61"/>
  <c r="N79" i="61"/>
  <c r="N78" i="61"/>
  <c r="N77" i="61"/>
  <c r="N76" i="61"/>
  <c r="N75" i="61"/>
  <c r="N74" i="61"/>
  <c r="N72" i="61"/>
  <c r="L72" i="61" s="1"/>
  <c r="N73" i="61"/>
  <c r="L73" i="61" s="1"/>
  <c r="P129" i="61" l="1"/>
  <c r="F73" i="61"/>
  <c r="H118" i="103"/>
  <c r="N105" i="69" l="1"/>
  <c r="F104" i="69"/>
  <c r="F105" i="69"/>
  <c r="N104" i="69"/>
  <c r="N103" i="69"/>
  <c r="N102" i="69"/>
  <c r="F100" i="69"/>
  <c r="F102" i="69"/>
  <c r="N101" i="69"/>
  <c r="F101" i="69"/>
  <c r="N100" i="69"/>
  <c r="N99" i="69"/>
  <c r="F99" i="69"/>
  <c r="N98" i="69"/>
  <c r="F98" i="69"/>
  <c r="N97" i="69"/>
  <c r="F97" i="69"/>
  <c r="N96" i="69"/>
  <c r="F96" i="69"/>
  <c r="N95" i="69"/>
  <c r="F95" i="69"/>
  <c r="N94" i="69"/>
  <c r="N93" i="69"/>
  <c r="F91" i="69"/>
  <c r="F93" i="69"/>
  <c r="N92" i="69"/>
  <c r="F92" i="69"/>
  <c r="N91" i="69"/>
  <c r="N90" i="69"/>
  <c r="F88" i="69"/>
  <c r="F90" i="69"/>
  <c r="N89" i="69"/>
  <c r="F89" i="69"/>
  <c r="N88" i="69"/>
  <c r="N87" i="69"/>
  <c r="F87" i="69"/>
  <c r="N86" i="69"/>
  <c r="F86" i="69"/>
  <c r="N85" i="69"/>
  <c r="F85" i="69"/>
  <c r="N84" i="69"/>
  <c r="F84" i="69"/>
  <c r="N83" i="69"/>
  <c r="F83" i="69"/>
  <c r="N82" i="69"/>
  <c r="N81" i="69"/>
  <c r="F79" i="69"/>
  <c r="F81" i="69"/>
  <c r="N80" i="69"/>
  <c r="N79" i="69"/>
  <c r="N78" i="69"/>
  <c r="F76" i="69"/>
  <c r="G76" i="69" s="1"/>
  <c r="F78" i="69"/>
  <c r="N77" i="69"/>
  <c r="F77" i="69"/>
  <c r="N76" i="69"/>
  <c r="N75" i="69"/>
  <c r="F75" i="69"/>
  <c r="N74" i="69"/>
  <c r="F74" i="69"/>
  <c r="N73" i="69"/>
  <c r="F73" i="69"/>
  <c r="N72" i="69"/>
  <c r="F72" i="69"/>
  <c r="N71" i="69"/>
  <c r="N70" i="69"/>
  <c r="F69" i="69"/>
  <c r="N67" i="69"/>
  <c r="F67" i="69"/>
  <c r="F68" i="69"/>
  <c r="N68" i="69"/>
  <c r="H57" i="103"/>
  <c r="B116" i="69" s="1"/>
  <c r="L116" i="69" s="1"/>
  <c r="H54" i="103"/>
  <c r="B142" i="61" s="1"/>
  <c r="L142" i="61" s="1"/>
  <c r="F65" i="69"/>
  <c r="F127" i="61"/>
  <c r="F128" i="61"/>
  <c r="F126" i="61"/>
  <c r="G126" i="61" s="1"/>
  <c r="F124" i="61"/>
  <c r="F125" i="61"/>
  <c r="F123" i="61"/>
  <c r="F121" i="61"/>
  <c r="F122" i="61"/>
  <c r="F120" i="61"/>
  <c r="F118" i="61"/>
  <c r="F119" i="61"/>
  <c r="F117" i="61"/>
  <c r="F115" i="61"/>
  <c r="F116" i="61"/>
  <c r="F114" i="61"/>
  <c r="G114" i="61" s="1"/>
  <c r="F112" i="61"/>
  <c r="F113" i="61"/>
  <c r="F111" i="61"/>
  <c r="G111" i="61" s="1"/>
  <c r="F109" i="61"/>
  <c r="F110" i="61"/>
  <c r="F108" i="61"/>
  <c r="F106" i="61"/>
  <c r="F107" i="61"/>
  <c r="F105" i="61"/>
  <c r="F103" i="61"/>
  <c r="F104" i="61"/>
  <c r="F102" i="61"/>
  <c r="G102" i="61" s="1"/>
  <c r="F100" i="61"/>
  <c r="F101" i="61"/>
  <c r="F99" i="61"/>
  <c r="G99" i="61" s="1"/>
  <c r="F97" i="61"/>
  <c r="H195" i="103"/>
  <c r="B74" i="72" s="1"/>
  <c r="L74" i="72"/>
  <c r="B70" i="72"/>
  <c r="L70" i="72" s="1"/>
  <c r="B62" i="72"/>
  <c r="L62" i="72" s="1"/>
  <c r="B58" i="72"/>
  <c r="L58" i="72" s="1"/>
  <c r="N215" i="94"/>
  <c r="N216" i="94"/>
  <c r="N217" i="94"/>
  <c r="N218" i="94"/>
  <c r="H127" i="103"/>
  <c r="B221" i="94" s="1"/>
  <c r="N221" i="94" s="1"/>
  <c r="H128" i="103"/>
  <c r="B222" i="94" s="1"/>
  <c r="N222" i="94" s="1"/>
  <c r="H129" i="103"/>
  <c r="B223" i="94" s="1"/>
  <c r="N223" i="94" s="1"/>
  <c r="H126" i="103"/>
  <c r="B218" i="94" s="1"/>
  <c r="H125" i="103"/>
  <c r="B217" i="94"/>
  <c r="H124" i="103"/>
  <c r="B216" i="94" s="1"/>
  <c r="H123" i="103"/>
  <c r="B215" i="94" s="1"/>
  <c r="H172" i="103"/>
  <c r="B83" i="36" s="1"/>
  <c r="L83" i="36" s="1"/>
  <c r="H169" i="103"/>
  <c r="B33" i="35" s="1"/>
  <c r="L33" i="35" s="1"/>
  <c r="N41" i="98"/>
  <c r="N37" i="98"/>
  <c r="H163" i="103"/>
  <c r="B180" i="21" s="1"/>
  <c r="N180" i="21" s="1"/>
  <c r="H161" i="103"/>
  <c r="B152" i="21" s="1"/>
  <c r="N152" i="21" s="1"/>
  <c r="H159" i="103"/>
  <c r="B126" i="21" s="1"/>
  <c r="N126" i="21" s="1"/>
  <c r="H158" i="103"/>
  <c r="B125" i="21"/>
  <c r="N125" i="21"/>
  <c r="H156" i="103"/>
  <c r="B93" i="21" s="1"/>
  <c r="N93" i="21" s="1"/>
  <c r="H155" i="103"/>
  <c r="B65" i="21" s="1"/>
  <c r="N65" i="21" s="1"/>
  <c r="H151" i="103"/>
  <c r="B61" i="97"/>
  <c r="N61" i="97" s="1"/>
  <c r="C66" i="97" s="1"/>
  <c r="H150" i="103"/>
  <c r="B31" i="97" s="1"/>
  <c r="N31" i="97" s="1"/>
  <c r="C36" i="97" s="1"/>
  <c r="H146" i="103"/>
  <c r="B38" i="93" s="1"/>
  <c r="N38" i="93" s="1"/>
  <c r="C43" i="93" s="1"/>
  <c r="H148" i="103"/>
  <c r="B70" i="93" s="1"/>
  <c r="N70" i="93" s="1"/>
  <c r="H140" i="103"/>
  <c r="B53" i="74"/>
  <c r="N53" i="74" s="1"/>
  <c r="C59" i="74" s="1"/>
  <c r="H141" i="103"/>
  <c r="B54" i="74" s="1"/>
  <c r="N54" i="74" s="1"/>
  <c r="H122" i="103"/>
  <c r="B163" i="94" s="1"/>
  <c r="H121" i="103"/>
  <c r="B162" i="94"/>
  <c r="N162" i="94" s="1"/>
  <c r="H111" i="103"/>
  <c r="B154" i="92" s="1"/>
  <c r="N154" i="92" s="1"/>
  <c r="H112" i="103"/>
  <c r="B155" i="92" s="1"/>
  <c r="N155" i="92" s="1"/>
  <c r="H113" i="103"/>
  <c r="B156" i="92"/>
  <c r="N156" i="92" s="1"/>
  <c r="H102" i="92"/>
  <c r="I102" i="92"/>
  <c r="D148" i="92"/>
  <c r="D149" i="92"/>
  <c r="C160" i="92"/>
  <c r="H13" i="92"/>
  <c r="N13" i="92"/>
  <c r="H103" i="103"/>
  <c r="B44" i="91" s="1"/>
  <c r="N44" i="91" s="1"/>
  <c r="C50" i="91" s="1"/>
  <c r="H12" i="91" s="1"/>
  <c r="G52" i="27"/>
  <c r="G51" i="27"/>
  <c r="G50" i="27"/>
  <c r="G49" i="27"/>
  <c r="G48" i="27"/>
  <c r="G47" i="27"/>
  <c r="G46" i="27"/>
  <c r="G45" i="27"/>
  <c r="G44" i="27"/>
  <c r="G43" i="27"/>
  <c r="G87" i="27"/>
  <c r="G86" i="27"/>
  <c r="G85" i="27"/>
  <c r="G84" i="27"/>
  <c r="G83" i="27"/>
  <c r="G82" i="27"/>
  <c r="G81" i="27"/>
  <c r="G80" i="27"/>
  <c r="G79" i="27"/>
  <c r="G78" i="27"/>
  <c r="G123" i="27"/>
  <c r="G122" i="27"/>
  <c r="G121" i="27"/>
  <c r="G120" i="27"/>
  <c r="G119" i="27"/>
  <c r="G118" i="27"/>
  <c r="G117" i="27"/>
  <c r="G116" i="27"/>
  <c r="G115" i="27"/>
  <c r="G114" i="27"/>
  <c r="G186" i="27"/>
  <c r="G187" i="27"/>
  <c r="G188" i="27"/>
  <c r="G189" i="27"/>
  <c r="G190" i="27"/>
  <c r="G191" i="27"/>
  <c r="G192" i="27"/>
  <c r="G193" i="27"/>
  <c r="G194" i="27"/>
  <c r="G185" i="27"/>
  <c r="H88" i="103"/>
  <c r="B52" i="24"/>
  <c r="N52" i="24" s="1"/>
  <c r="H87" i="103"/>
  <c r="B51" i="24" s="1"/>
  <c r="N51" i="24" s="1"/>
  <c r="H79" i="103"/>
  <c r="B40" i="88" s="1"/>
  <c r="N40" i="88" s="1"/>
  <c r="H78" i="103"/>
  <c r="B38" i="88" s="1"/>
  <c r="N38" i="88" s="1"/>
  <c r="D32" i="88"/>
  <c r="C45" i="88"/>
  <c r="H80" i="103"/>
  <c r="B41" i="88" s="1"/>
  <c r="N41" i="88" s="1"/>
  <c r="H77" i="103"/>
  <c r="B37" i="88" s="1"/>
  <c r="N37" i="88" s="1"/>
  <c r="L52" i="7"/>
  <c r="M52" i="7"/>
  <c r="E78" i="7"/>
  <c r="G67" i="7"/>
  <c r="E77" i="7"/>
  <c r="D125" i="27"/>
  <c r="B120" i="94"/>
  <c r="N120" i="94"/>
  <c r="H117" i="103"/>
  <c r="B119" i="94" s="1"/>
  <c r="N119" i="94" s="1"/>
  <c r="H119" i="103"/>
  <c r="B121" i="94" s="1"/>
  <c r="N121" i="94" s="1"/>
  <c r="H120" i="103"/>
  <c r="B122" i="94"/>
  <c r="N122" i="94" s="1"/>
  <c r="N119" i="95"/>
  <c r="N120" i="95"/>
  <c r="N124" i="95"/>
  <c r="N123" i="95"/>
  <c r="C129" i="95" s="1"/>
  <c r="H12" i="95" s="1"/>
  <c r="N38" i="95"/>
  <c r="N39" i="95"/>
  <c r="N40" i="95"/>
  <c r="N41" i="95"/>
  <c r="N42" i="95"/>
  <c r="N43" i="95"/>
  <c r="N44" i="95"/>
  <c r="N45" i="95"/>
  <c r="N46" i="95"/>
  <c r="N47" i="95"/>
  <c r="O49" i="95"/>
  <c r="D114" i="95"/>
  <c r="C128" i="95"/>
  <c r="H135" i="103"/>
  <c r="B124" i="95" s="1"/>
  <c r="H134" i="103"/>
  <c r="B123" i="95" s="1"/>
  <c r="H133" i="103"/>
  <c r="B120" i="95" s="1"/>
  <c r="H132" i="103"/>
  <c r="B119" i="95" s="1"/>
  <c r="H138" i="103"/>
  <c r="B210" i="95" s="1"/>
  <c r="H137" i="103"/>
  <c r="B164" i="95" s="1"/>
  <c r="N164" i="95" s="1"/>
  <c r="C169" i="95" s="1"/>
  <c r="H13" i="95" s="1"/>
  <c r="H136" i="103"/>
  <c r="B163" i="95" s="1"/>
  <c r="H102" i="103"/>
  <c r="B47" i="90"/>
  <c r="N47" i="90" s="1"/>
  <c r="H101" i="103"/>
  <c r="B46" i="90" s="1"/>
  <c r="H105" i="103"/>
  <c r="B64" i="28" s="1"/>
  <c r="U64" i="28" s="1"/>
  <c r="H106" i="103"/>
  <c r="B65" i="28"/>
  <c r="U65" i="28" s="1"/>
  <c r="H107" i="103"/>
  <c r="B66" i="28" s="1"/>
  <c r="U66" i="28" s="1"/>
  <c r="H109" i="103"/>
  <c r="B71" i="92" s="1"/>
  <c r="N71" i="92" s="1"/>
  <c r="H110" i="103"/>
  <c r="B72" i="92" s="1"/>
  <c r="N72" i="92" s="1"/>
  <c r="H116" i="103"/>
  <c r="B76" i="94" s="1"/>
  <c r="N76" i="94" s="1"/>
  <c r="H142" i="103"/>
  <c r="B122" i="74" s="1"/>
  <c r="H143" i="103"/>
  <c r="B123" i="74" s="1"/>
  <c r="H31" i="103"/>
  <c r="B109" i="18" s="1"/>
  <c r="M109" i="18" s="1"/>
  <c r="H32" i="103"/>
  <c r="B110" i="18" s="1"/>
  <c r="M110" i="18" s="1"/>
  <c r="H33" i="103"/>
  <c r="B111" i="18"/>
  <c r="M111" i="18"/>
  <c r="H30" i="103"/>
  <c r="B67" i="18" s="1"/>
  <c r="M67" i="18" s="1"/>
  <c r="H29" i="103"/>
  <c r="B66" i="18" s="1"/>
  <c r="M66" i="18" s="1"/>
  <c r="H73" i="103"/>
  <c r="B36" i="85" s="1"/>
  <c r="L36" i="85" s="1"/>
  <c r="C42" i="85" s="1"/>
  <c r="H12" i="85" s="1"/>
  <c r="H74" i="103"/>
  <c r="B37" i="85" s="1"/>
  <c r="L37" i="85" s="1"/>
  <c r="H183" i="103"/>
  <c r="B117" i="51" s="1"/>
  <c r="L117" i="51" s="1"/>
  <c r="H179" i="103"/>
  <c r="E112" i="51"/>
  <c r="C122" i="51"/>
  <c r="H178" i="103"/>
  <c r="B82" i="51" s="1"/>
  <c r="L82" i="51" s="1"/>
  <c r="H180" i="103"/>
  <c r="B86" i="51" s="1"/>
  <c r="L86" i="51" s="1"/>
  <c r="H182" i="103"/>
  <c r="B88" i="51" s="1"/>
  <c r="L88" i="51" s="1"/>
  <c r="H181" i="103"/>
  <c r="B87" i="51" s="1"/>
  <c r="L87" i="51" s="1"/>
  <c r="G12" i="51"/>
  <c r="G13" i="51"/>
  <c r="C92" i="51"/>
  <c r="B65" i="51"/>
  <c r="B68" i="51"/>
  <c r="E77" i="51"/>
  <c r="B69" i="51"/>
  <c r="H171" i="103"/>
  <c r="B59" i="36" s="1"/>
  <c r="L59" i="36" s="1"/>
  <c r="H170" i="103"/>
  <c r="B58" i="36" s="1"/>
  <c r="B49" i="36"/>
  <c r="B44" i="36"/>
  <c r="B39" i="36"/>
  <c r="B34" i="36"/>
  <c r="B29" i="36"/>
  <c r="B21" i="35"/>
  <c r="H61" i="103"/>
  <c r="B107" i="83" s="1"/>
  <c r="O107" i="83" s="1"/>
  <c r="H62" i="103"/>
  <c r="B108" i="83"/>
  <c r="O108" i="83" s="1"/>
  <c r="H63" i="103"/>
  <c r="B109" i="83" s="1"/>
  <c r="O109" i="83" s="1"/>
  <c r="H64" i="103"/>
  <c r="B157" i="83" s="1"/>
  <c r="O157" i="83" s="1"/>
  <c r="H65" i="103"/>
  <c r="B158" i="83" s="1"/>
  <c r="O158" i="83" s="1"/>
  <c r="H66" i="103"/>
  <c r="B159" i="83" s="1"/>
  <c r="O159" i="83" s="1"/>
  <c r="C343" i="19"/>
  <c r="H45" i="103"/>
  <c r="B337" i="19" s="1"/>
  <c r="L337" i="19" s="1"/>
  <c r="H46" i="103"/>
  <c r="H47" i="103"/>
  <c r="B339" i="19" s="1"/>
  <c r="L339" i="19" s="1"/>
  <c r="C190" i="19"/>
  <c r="H49" i="103"/>
  <c r="B239" i="19" s="1"/>
  <c r="L239" i="19" s="1"/>
  <c r="H48" i="103"/>
  <c r="B391" i="19" s="1"/>
  <c r="L391" i="19" s="1"/>
  <c r="C308" i="19"/>
  <c r="H23" i="19"/>
  <c r="H24" i="19"/>
  <c r="H25" i="19"/>
  <c r="H26" i="19"/>
  <c r="L26" i="19"/>
  <c r="H43" i="103"/>
  <c r="B304" i="19" s="1"/>
  <c r="L304" i="19" s="1"/>
  <c r="C309" i="19" s="1"/>
  <c r="H44" i="103"/>
  <c r="H40" i="103"/>
  <c r="B82" i="19" s="1"/>
  <c r="L82" i="19" s="1"/>
  <c r="H34" i="103"/>
  <c r="B64" i="37" s="1"/>
  <c r="L64" i="37" s="1"/>
  <c r="H35" i="103"/>
  <c r="B65" i="37" s="1"/>
  <c r="L65" i="37" s="1"/>
  <c r="H36" i="103"/>
  <c r="B68" i="37" s="1"/>
  <c r="L68" i="37" s="1"/>
  <c r="H37" i="103"/>
  <c r="B69" i="37" s="1"/>
  <c r="L69" i="37" s="1"/>
  <c r="H39" i="103"/>
  <c r="B100" i="37" s="1"/>
  <c r="L100" i="37" s="1"/>
  <c r="H38" i="103"/>
  <c r="B99" i="37" s="1"/>
  <c r="L99" i="37" s="1"/>
  <c r="C105" i="37" s="1"/>
  <c r="H28" i="103"/>
  <c r="B264" i="7" s="1"/>
  <c r="L264" i="7" s="1"/>
  <c r="H27" i="103"/>
  <c r="B263" i="7"/>
  <c r="L263" i="7" s="1"/>
  <c r="C269" i="7" s="1"/>
  <c r="H15" i="7" s="1"/>
  <c r="H26" i="103"/>
  <c r="B216" i="7" s="1"/>
  <c r="L216" i="7" s="1"/>
  <c r="H25" i="103"/>
  <c r="B215" i="7" s="1"/>
  <c r="L215" i="7" s="1"/>
  <c r="H20" i="103"/>
  <c r="B84" i="7" s="1"/>
  <c r="L84" i="7" s="1"/>
  <c r="H21" i="103"/>
  <c r="B85" i="7" s="1"/>
  <c r="L85" i="7" s="1"/>
  <c r="H22" i="103"/>
  <c r="B86" i="7"/>
  <c r="L86" i="7"/>
  <c r="E79" i="7"/>
  <c r="C90" i="7"/>
  <c r="H24" i="103"/>
  <c r="B139" i="7"/>
  <c r="L139" i="7" s="1"/>
  <c r="C144" i="7" s="1"/>
  <c r="H13" i="7" s="1"/>
  <c r="H23" i="103"/>
  <c r="B138" i="7" s="1"/>
  <c r="L138" i="7" s="1"/>
  <c r="D59" i="96"/>
  <c r="H145" i="103"/>
  <c r="B65" i="96" s="1"/>
  <c r="H144" i="103"/>
  <c r="B64" i="96" s="1"/>
  <c r="N64" i="96" s="1"/>
  <c r="C70" i="96" s="1"/>
  <c r="H12" i="96" s="1"/>
  <c r="H114" i="103"/>
  <c r="B75" i="94" s="1"/>
  <c r="N75" i="94" s="1"/>
  <c r="C81" i="94" s="1"/>
  <c r="H130" i="103"/>
  <c r="H131" i="103"/>
  <c r="H108" i="103"/>
  <c r="B70" i="92" s="1"/>
  <c r="N70" i="92" s="1"/>
  <c r="H84" i="103"/>
  <c r="B94" i="30" s="1"/>
  <c r="N94" i="30" s="1"/>
  <c r="N90" i="30"/>
  <c r="N91" i="30"/>
  <c r="H85" i="103"/>
  <c r="B95" i="30" s="1"/>
  <c r="N95" i="30" s="1"/>
  <c r="H86" i="103"/>
  <c r="B96" i="30" s="1"/>
  <c r="N96" i="30" s="1"/>
  <c r="H194" i="103"/>
  <c r="B61" i="72" s="1"/>
  <c r="L61" i="72" s="1"/>
  <c r="M62" i="72" s="1"/>
  <c r="H98" i="103"/>
  <c r="B202" i="27"/>
  <c r="O202" i="27" s="1"/>
  <c r="H97" i="103"/>
  <c r="B201" i="27" s="1"/>
  <c r="O201" i="27" s="1"/>
  <c r="C207" i="27" s="1"/>
  <c r="H16" i="27" s="1"/>
  <c r="H96" i="103"/>
  <c r="B166" i="27" s="1"/>
  <c r="O166" i="27" s="1"/>
  <c r="C171" i="27" s="1"/>
  <c r="H15" i="27" s="1"/>
  <c r="H95" i="103"/>
  <c r="B165" i="27" s="1"/>
  <c r="O165" i="27" s="1"/>
  <c r="H94" i="103"/>
  <c r="B131" i="27" s="1"/>
  <c r="O131" i="27" s="1"/>
  <c r="H93" i="103"/>
  <c r="B130" i="27" s="1"/>
  <c r="O130" i="27" s="1"/>
  <c r="H91" i="103"/>
  <c r="B94" i="27" s="1"/>
  <c r="O94" i="27" s="1"/>
  <c r="H92" i="103"/>
  <c r="B95" i="27" s="1"/>
  <c r="O95" i="27" s="1"/>
  <c r="E196" i="27"/>
  <c r="C206" i="27"/>
  <c r="G16" i="27"/>
  <c r="O16" i="27"/>
  <c r="D54" i="27"/>
  <c r="C64" i="27"/>
  <c r="H89" i="103"/>
  <c r="B59" i="27" s="1"/>
  <c r="O59" i="27" s="1"/>
  <c r="H90" i="103"/>
  <c r="B60" i="27" s="1"/>
  <c r="O60" i="27" s="1"/>
  <c r="D89" i="27"/>
  <c r="C99" i="27"/>
  <c r="C135" i="27"/>
  <c r="P149" i="27"/>
  <c r="Q149" i="27"/>
  <c r="H149" i="27"/>
  <c r="H150" i="27"/>
  <c r="H151" i="27"/>
  <c r="H152" i="27"/>
  <c r="H153" i="27"/>
  <c r="H154" i="27"/>
  <c r="H155" i="27"/>
  <c r="H156" i="27"/>
  <c r="H157" i="27"/>
  <c r="H158" i="27"/>
  <c r="E160" i="27"/>
  <c r="C170" i="27"/>
  <c r="G12" i="27"/>
  <c r="G13" i="27"/>
  <c r="G14" i="27"/>
  <c r="G15" i="27"/>
  <c r="G17" i="27"/>
  <c r="H67" i="103"/>
  <c r="B56" i="84" s="1"/>
  <c r="H68" i="103"/>
  <c r="B57" i="84" s="1"/>
  <c r="L57" i="84" s="1"/>
  <c r="H58" i="103"/>
  <c r="B48" i="83" s="1"/>
  <c r="O48" i="83" s="1"/>
  <c r="H60" i="103"/>
  <c r="B52" i="83" s="1"/>
  <c r="O52" i="83" s="1"/>
  <c r="H59" i="103"/>
  <c r="B51" i="83" s="1"/>
  <c r="O51" i="83" s="1"/>
  <c r="B37" i="83"/>
  <c r="H42" i="103"/>
  <c r="B84" i="19" s="1"/>
  <c r="L84" i="19" s="1"/>
  <c r="H41" i="103"/>
  <c r="B83" i="19" s="1"/>
  <c r="L83" i="19" s="1"/>
  <c r="H10" i="103"/>
  <c r="B244" i="8" s="1"/>
  <c r="O244" i="8" s="1"/>
  <c r="H9" i="103"/>
  <c r="B243" i="8" s="1"/>
  <c r="O243" i="8" s="1"/>
  <c r="H3" i="103"/>
  <c r="B70" i="8" s="1"/>
  <c r="O70" i="8" s="1"/>
  <c r="H2" i="103"/>
  <c r="B69" i="8" s="1"/>
  <c r="O69" i="8" s="1"/>
  <c r="H5" i="103"/>
  <c r="B132" i="8"/>
  <c r="O132" i="8" s="1"/>
  <c r="C138" i="8" s="1"/>
  <c r="I13" i="8" s="1"/>
  <c r="H6" i="103"/>
  <c r="B133" i="8" s="1"/>
  <c r="O133" i="8" s="1"/>
  <c r="H4" i="103"/>
  <c r="B131" i="8"/>
  <c r="H8" i="103"/>
  <c r="B181" i="8" s="1"/>
  <c r="O181" i="8" s="1"/>
  <c r="H13" i="103"/>
  <c r="B248" i="8" s="1"/>
  <c r="O248" i="8" s="1"/>
  <c r="H12" i="103"/>
  <c r="B247" i="8" s="1"/>
  <c r="H7" i="103"/>
  <c r="B180" i="8" s="1"/>
  <c r="O180" i="8" s="1"/>
  <c r="H19" i="103"/>
  <c r="B322" i="8" s="1"/>
  <c r="O322" i="8" s="1"/>
  <c r="H17" i="103"/>
  <c r="B318" i="8" s="1"/>
  <c r="O318" i="8" s="1"/>
  <c r="H15" i="103"/>
  <c r="B314" i="8" s="1"/>
  <c r="E267" i="8"/>
  <c r="E284" i="8"/>
  <c r="F292" i="8"/>
  <c r="F293" i="8"/>
  <c r="F294" i="8"/>
  <c r="F295" i="8"/>
  <c r="F296" i="8"/>
  <c r="F297" i="8"/>
  <c r="F298" i="8"/>
  <c r="F299" i="8"/>
  <c r="F300" i="8"/>
  <c r="F301" i="8"/>
  <c r="F302" i="8"/>
  <c r="F303" i="8"/>
  <c r="F304" i="8"/>
  <c r="F305" i="8"/>
  <c r="F306" i="8"/>
  <c r="E308" i="8"/>
  <c r="C326" i="8"/>
  <c r="C327" i="8"/>
  <c r="I16" i="8" s="1"/>
  <c r="H16" i="103"/>
  <c r="B317" i="8" s="1"/>
  <c r="O317" i="8" s="1"/>
  <c r="H14" i="103"/>
  <c r="B313" i="8" s="1"/>
  <c r="O313" i="8" s="1"/>
  <c r="H18" i="103"/>
  <c r="B321" i="8" s="1"/>
  <c r="O321" i="8" s="1"/>
  <c r="H76" i="103"/>
  <c r="B84" i="85" s="1"/>
  <c r="H75" i="103"/>
  <c r="B83" i="85" s="1"/>
  <c r="L83" i="85" s="1"/>
  <c r="C89" i="85" s="1"/>
  <c r="H13" i="85" s="1"/>
  <c r="H71" i="103"/>
  <c r="B124" i="84" s="1"/>
  <c r="L124" i="84" s="1"/>
  <c r="C130" i="84" s="1"/>
  <c r="H16" i="84" s="1"/>
  <c r="H188" i="103"/>
  <c r="B48" i="87"/>
  <c r="L48" i="87" s="1"/>
  <c r="C53" i="87" s="1"/>
  <c r="H12" i="87" s="1"/>
  <c r="H193" i="103"/>
  <c r="B117" i="87" s="1"/>
  <c r="L117" i="87" s="1"/>
  <c r="H192" i="103"/>
  <c r="B116" i="87" s="1"/>
  <c r="L116" i="87" s="1"/>
  <c r="C122" i="87" s="1"/>
  <c r="H14" i="87" s="1"/>
  <c r="E111" i="87"/>
  <c r="C121" i="87"/>
  <c r="H191" i="103"/>
  <c r="B84" i="87"/>
  <c r="H190" i="103"/>
  <c r="B83" i="87"/>
  <c r="L83" i="87" s="1"/>
  <c r="C89" i="87" s="1"/>
  <c r="H13" i="87" s="1"/>
  <c r="H186" i="103"/>
  <c r="B67" i="86"/>
  <c r="L67" i="86"/>
  <c r="H187" i="103"/>
  <c r="B68" i="86" s="1"/>
  <c r="L68" i="86" s="1"/>
  <c r="H185" i="103"/>
  <c r="B40" i="86" s="1"/>
  <c r="H184" i="103"/>
  <c r="H177" i="103"/>
  <c r="B163" i="36" s="1"/>
  <c r="L163" i="36" s="1"/>
  <c r="H176" i="103"/>
  <c r="B162" i="36" s="1"/>
  <c r="L162" i="36" s="1"/>
  <c r="H175" i="103"/>
  <c r="B122" i="36" s="1"/>
  <c r="L122" i="36" s="1"/>
  <c r="H174" i="103"/>
  <c r="B121" i="36" s="1"/>
  <c r="H168" i="103"/>
  <c r="B32" i="35" s="1"/>
  <c r="L32" i="35" s="1"/>
  <c r="H167" i="103"/>
  <c r="B41" i="98" s="1"/>
  <c r="H165" i="103"/>
  <c r="B37" i="98" s="1"/>
  <c r="H166" i="103"/>
  <c r="B40" i="98" s="1"/>
  <c r="N40" i="98"/>
  <c r="H164" i="103"/>
  <c r="B36" i="98" s="1"/>
  <c r="N36" i="98"/>
  <c r="C46" i="98" s="1"/>
  <c r="H12" i="98" s="1"/>
  <c r="H162" i="103"/>
  <c r="B179" i="21" s="1"/>
  <c r="N179" i="21" s="1"/>
  <c r="C185" i="21" s="1"/>
  <c r="H19" i="21" s="1"/>
  <c r="H160" i="103"/>
  <c r="B151" i="21"/>
  <c r="N151" i="21" s="1"/>
  <c r="C157" i="21" s="1"/>
  <c r="H157" i="103"/>
  <c r="B94" i="21" s="1"/>
  <c r="N94" i="21" s="1"/>
  <c r="C99" i="21" s="1"/>
  <c r="H17" i="21" s="1"/>
  <c r="H153" i="103"/>
  <c r="B40" i="21"/>
  <c r="H152" i="103"/>
  <c r="B39" i="21" s="1"/>
  <c r="H154" i="103"/>
  <c r="B64" i="21" s="1"/>
  <c r="N64" i="21" s="1"/>
  <c r="C70" i="21" s="1"/>
  <c r="D200" i="103"/>
  <c r="N30" i="91"/>
  <c r="D39" i="91"/>
  <c r="C49" i="91"/>
  <c r="H14" i="89"/>
  <c r="H99" i="103"/>
  <c r="B57" i="89" s="1"/>
  <c r="N57" i="89" s="1"/>
  <c r="C63" i="89" s="1"/>
  <c r="H100" i="103"/>
  <c r="B84" i="89" s="1"/>
  <c r="N84" i="89" s="1"/>
  <c r="C89" i="89" s="1"/>
  <c r="H83" i="103"/>
  <c r="B91" i="30" s="1"/>
  <c r="H82" i="103"/>
  <c r="B90" i="30"/>
  <c r="F12" i="88"/>
  <c r="G5" i="47"/>
  <c r="E8" i="25"/>
  <c r="G5" i="49"/>
  <c r="E9" i="25"/>
  <c r="G71" i="19"/>
  <c r="G72" i="19"/>
  <c r="G73" i="19"/>
  <c r="G74" i="19"/>
  <c r="G75" i="19"/>
  <c r="G64" i="19"/>
  <c r="G65" i="19"/>
  <c r="G66" i="19"/>
  <c r="G67" i="19"/>
  <c r="G68" i="19"/>
  <c r="G57" i="19"/>
  <c r="G58" i="19"/>
  <c r="G59" i="19"/>
  <c r="G60" i="19"/>
  <c r="G61" i="19"/>
  <c r="G46" i="19"/>
  <c r="G48" i="19"/>
  <c r="G50" i="19"/>
  <c r="G52" i="19"/>
  <c r="G54" i="19"/>
  <c r="E77" i="19"/>
  <c r="C88" i="19"/>
  <c r="G14" i="19"/>
  <c r="G7" i="41"/>
  <c r="E6" i="25"/>
  <c r="E10" i="25"/>
  <c r="S32" i="25"/>
  <c r="B26" i="88"/>
  <c r="H51" i="103"/>
  <c r="B41" i="53" s="1"/>
  <c r="L41" i="53" s="1"/>
  <c r="H50" i="103"/>
  <c r="B40" i="53"/>
  <c r="L40" i="53" s="1"/>
  <c r="B112" i="84"/>
  <c r="B54" i="85"/>
  <c r="H11" i="103"/>
  <c r="H52" i="103"/>
  <c r="B140" i="61" s="1"/>
  <c r="L140" i="61" s="1"/>
  <c r="H53" i="103"/>
  <c r="B141" i="61" s="1"/>
  <c r="L141" i="61" s="1"/>
  <c r="H55" i="103"/>
  <c r="B114" i="69" s="1"/>
  <c r="L114" i="69" s="1"/>
  <c r="H56" i="103"/>
  <c r="B115" i="69" s="1"/>
  <c r="L115" i="69" s="1"/>
  <c r="H69" i="103"/>
  <c r="H70" i="103"/>
  <c r="H72" i="103"/>
  <c r="H81" i="103"/>
  <c r="H104" i="103"/>
  <c r="H139" i="103"/>
  <c r="H147" i="103"/>
  <c r="H149" i="103"/>
  <c r="H173" i="103"/>
  <c r="H189" i="103"/>
  <c r="N69" i="69"/>
  <c r="N64" i="69"/>
  <c r="L64" i="69" s="1"/>
  <c r="N65" i="69"/>
  <c r="N66" i="69"/>
  <c r="N61" i="69"/>
  <c r="N62" i="69"/>
  <c r="L62" i="69" s="1"/>
  <c r="N63" i="69"/>
  <c r="F49" i="94"/>
  <c r="J49" i="94"/>
  <c r="O49" i="94"/>
  <c r="F50" i="94"/>
  <c r="J50" i="94"/>
  <c r="O50" i="94"/>
  <c r="F51" i="94"/>
  <c r="J51" i="94"/>
  <c r="O51" i="94"/>
  <c r="F52" i="94"/>
  <c r="J52" i="94"/>
  <c r="O52" i="94"/>
  <c r="F53" i="94"/>
  <c r="J53" i="94"/>
  <c r="O53" i="94"/>
  <c r="F54" i="94"/>
  <c r="J54" i="94"/>
  <c r="O54" i="94"/>
  <c r="F55" i="94"/>
  <c r="J55" i="94"/>
  <c r="O55" i="94"/>
  <c r="F56" i="94"/>
  <c r="J56" i="94"/>
  <c r="O56" i="94"/>
  <c r="F57" i="94"/>
  <c r="J57" i="94"/>
  <c r="O57" i="94"/>
  <c r="F58" i="94"/>
  <c r="J58" i="94"/>
  <c r="O58" i="94"/>
  <c r="F59" i="94"/>
  <c r="J59" i="94"/>
  <c r="O59" i="94"/>
  <c r="F60" i="94"/>
  <c r="J60" i="94"/>
  <c r="O60" i="94"/>
  <c r="F61" i="94"/>
  <c r="J61" i="94"/>
  <c r="O61" i="94"/>
  <c r="F62" i="94"/>
  <c r="J62" i="94"/>
  <c r="O62" i="94"/>
  <c r="F63" i="94"/>
  <c r="J63" i="94"/>
  <c r="O63" i="94"/>
  <c r="F64" i="94"/>
  <c r="J64" i="94"/>
  <c r="O64" i="94"/>
  <c r="F65" i="94"/>
  <c r="J65" i="94"/>
  <c r="O65" i="94"/>
  <c r="F66" i="94"/>
  <c r="J66" i="94"/>
  <c r="O66" i="94"/>
  <c r="F67" i="94"/>
  <c r="J67" i="94"/>
  <c r="O67" i="94"/>
  <c r="F68" i="94"/>
  <c r="J68" i="94"/>
  <c r="O68" i="94"/>
  <c r="F70" i="94"/>
  <c r="C80" i="94"/>
  <c r="O141" i="94"/>
  <c r="P141" i="94"/>
  <c r="O142" i="94"/>
  <c r="P142" i="94"/>
  <c r="O143" i="94"/>
  <c r="P143" i="94"/>
  <c r="O144" i="94"/>
  <c r="P144" i="94"/>
  <c r="O145" i="94"/>
  <c r="P145" i="94"/>
  <c r="O146" i="94"/>
  <c r="P146" i="94"/>
  <c r="O147" i="94"/>
  <c r="P147" i="94"/>
  <c r="O148" i="94"/>
  <c r="P148" i="94"/>
  <c r="O149" i="94"/>
  <c r="P149" i="94"/>
  <c r="O150" i="94"/>
  <c r="P150" i="94"/>
  <c r="O151" i="94"/>
  <c r="P151" i="94"/>
  <c r="O152" i="94"/>
  <c r="P152" i="94"/>
  <c r="O153" i="94"/>
  <c r="P153" i="94"/>
  <c r="O154" i="94"/>
  <c r="P154" i="94"/>
  <c r="O155" i="94"/>
  <c r="P155" i="94"/>
  <c r="Q141" i="94"/>
  <c r="Q142" i="94"/>
  <c r="Q143" i="94"/>
  <c r="Q144" i="94"/>
  <c r="Q145" i="94"/>
  <c r="Q146" i="94"/>
  <c r="Q147" i="94"/>
  <c r="Q148" i="94"/>
  <c r="Q149" i="94"/>
  <c r="Q150" i="94"/>
  <c r="Q151" i="94"/>
  <c r="Q152" i="94"/>
  <c r="Q153" i="94"/>
  <c r="Q154" i="94"/>
  <c r="Q155" i="94"/>
  <c r="E157" i="94"/>
  <c r="Q68" i="94"/>
  <c r="Q63" i="94"/>
  <c r="R63" i="94"/>
  <c r="S63" i="94"/>
  <c r="T63" i="94"/>
  <c r="U63" i="94"/>
  <c r="Q64" i="94"/>
  <c r="R64" i="94"/>
  <c r="S64" i="94"/>
  <c r="T64" i="94"/>
  <c r="U64" i="94"/>
  <c r="Q65" i="94"/>
  <c r="R65" i="94"/>
  <c r="S65" i="94"/>
  <c r="T65" i="94"/>
  <c r="U65" i="94"/>
  <c r="Q66" i="94"/>
  <c r="R66" i="94"/>
  <c r="S66" i="94"/>
  <c r="T66" i="94"/>
  <c r="U66" i="94"/>
  <c r="Q67" i="94"/>
  <c r="R67" i="94"/>
  <c r="S67" i="94"/>
  <c r="T67" i="94"/>
  <c r="U67" i="94"/>
  <c r="R68" i="94"/>
  <c r="S68" i="94"/>
  <c r="T68" i="94"/>
  <c r="U68" i="94"/>
  <c r="L23" i="72"/>
  <c r="C78" i="72"/>
  <c r="G12" i="72"/>
  <c r="H7" i="52"/>
  <c r="L24" i="71"/>
  <c r="L25" i="71"/>
  <c r="L26" i="71"/>
  <c r="L27" i="71"/>
  <c r="L28" i="71"/>
  <c r="L29" i="71"/>
  <c r="C38" i="71"/>
  <c r="G12" i="71"/>
  <c r="H6" i="52"/>
  <c r="H8" i="52"/>
  <c r="L39" i="25"/>
  <c r="L37" i="25"/>
  <c r="L40" i="25"/>
  <c r="D210" i="7"/>
  <c r="L197" i="7"/>
  <c r="M197" i="7"/>
  <c r="L198" i="7"/>
  <c r="M198" i="7"/>
  <c r="L199" i="7"/>
  <c r="M199" i="7"/>
  <c r="L200" i="7"/>
  <c r="M200" i="7"/>
  <c r="L201" i="7"/>
  <c r="M201" i="7"/>
  <c r="L202" i="7"/>
  <c r="M202" i="7"/>
  <c r="L203" i="7"/>
  <c r="M203" i="7"/>
  <c r="L117" i="7"/>
  <c r="M117" i="7"/>
  <c r="L118" i="7"/>
  <c r="M118" i="7"/>
  <c r="L119" i="7"/>
  <c r="M119" i="7"/>
  <c r="L120" i="7"/>
  <c r="M120" i="7"/>
  <c r="L121" i="7"/>
  <c r="M121" i="7"/>
  <c r="H117" i="7"/>
  <c r="H118" i="7"/>
  <c r="H119" i="7"/>
  <c r="H120" i="7"/>
  <c r="H121" i="7"/>
  <c r="P43" i="8"/>
  <c r="Q43" i="8"/>
  <c r="R43" i="8"/>
  <c r="P44" i="8"/>
  <c r="Q44" i="8"/>
  <c r="R44" i="8"/>
  <c r="P45" i="8"/>
  <c r="Q45" i="8"/>
  <c r="R45" i="8"/>
  <c r="P46" i="8"/>
  <c r="Q46" i="8"/>
  <c r="R46" i="8"/>
  <c r="P47" i="8"/>
  <c r="Q47" i="8"/>
  <c r="R47" i="8"/>
  <c r="P48" i="8"/>
  <c r="Q48" i="8"/>
  <c r="R48" i="8"/>
  <c r="P49" i="8"/>
  <c r="Q49" i="8"/>
  <c r="R49" i="8"/>
  <c r="P50" i="8"/>
  <c r="Q50" i="8"/>
  <c r="R50" i="8"/>
  <c r="P51" i="8"/>
  <c r="Q51" i="8"/>
  <c r="R51" i="8"/>
  <c r="P52" i="8"/>
  <c r="Q52" i="8"/>
  <c r="R52" i="8"/>
  <c r="P53" i="8"/>
  <c r="Q53" i="8"/>
  <c r="R53" i="8"/>
  <c r="P54" i="8"/>
  <c r="Q54" i="8"/>
  <c r="R54" i="8"/>
  <c r="P55" i="8"/>
  <c r="Q55" i="8"/>
  <c r="R55" i="8"/>
  <c r="P56" i="8"/>
  <c r="Q56" i="8"/>
  <c r="R56" i="8"/>
  <c r="P57" i="8"/>
  <c r="Q57" i="8"/>
  <c r="R57" i="8"/>
  <c r="P58" i="8"/>
  <c r="Q58" i="8"/>
  <c r="R58" i="8"/>
  <c r="P59" i="8"/>
  <c r="Q59" i="8"/>
  <c r="R59" i="8"/>
  <c r="P60" i="8"/>
  <c r="Q60" i="8"/>
  <c r="R60" i="8"/>
  <c r="P61" i="8"/>
  <c r="Q61" i="8"/>
  <c r="R61" i="8"/>
  <c r="P42" i="8"/>
  <c r="Q42" i="8"/>
  <c r="R42" i="8"/>
  <c r="E64" i="8"/>
  <c r="K49" i="8"/>
  <c r="K50" i="8"/>
  <c r="K51" i="8"/>
  <c r="K52" i="8"/>
  <c r="K53" i="8"/>
  <c r="I377" i="19"/>
  <c r="I378" i="19"/>
  <c r="I379" i="19"/>
  <c r="I380" i="19"/>
  <c r="I381" i="19"/>
  <c r="I382" i="19"/>
  <c r="I383" i="19"/>
  <c r="I384" i="19"/>
  <c r="E386" i="19"/>
  <c r="C396" i="19"/>
  <c r="G384" i="19"/>
  <c r="F384" i="19"/>
  <c r="G383" i="19"/>
  <c r="F383" i="19"/>
  <c r="G382" i="19"/>
  <c r="F382" i="19"/>
  <c r="G381" i="19"/>
  <c r="F381" i="19"/>
  <c r="G380" i="19"/>
  <c r="F380" i="19"/>
  <c r="G379" i="19"/>
  <c r="F379" i="19"/>
  <c r="G378" i="19"/>
  <c r="F378" i="19"/>
  <c r="G377" i="19"/>
  <c r="F377" i="19"/>
  <c r="I224" i="19"/>
  <c r="I225" i="19"/>
  <c r="I226" i="19"/>
  <c r="I227" i="19"/>
  <c r="I228" i="19"/>
  <c r="I229" i="19"/>
  <c r="I230" i="19"/>
  <c r="I231" i="19"/>
  <c r="E233" i="19"/>
  <c r="C243" i="19"/>
  <c r="F225" i="19"/>
  <c r="F226" i="19"/>
  <c r="F227" i="19"/>
  <c r="F228" i="19"/>
  <c r="F229" i="19"/>
  <c r="F230" i="19"/>
  <c r="F231" i="19"/>
  <c r="F224" i="19"/>
  <c r="G231" i="19"/>
  <c r="G230" i="19"/>
  <c r="G229" i="19"/>
  <c r="G228" i="19"/>
  <c r="G227" i="19"/>
  <c r="G226" i="19"/>
  <c r="G225" i="19"/>
  <c r="G224" i="19"/>
  <c r="Q191" i="95"/>
  <c r="Q192" i="95"/>
  <c r="Q193" i="95"/>
  <c r="Q194" i="95"/>
  <c r="Q195" i="95"/>
  <c r="Q196" i="95"/>
  <c r="Q197" i="95"/>
  <c r="Q198" i="95"/>
  <c r="Q199" i="95"/>
  <c r="Q200" i="95"/>
  <c r="Q201" i="95"/>
  <c r="Q202" i="95"/>
  <c r="Q203" i="95"/>
  <c r="Q190" i="95"/>
  <c r="N191" i="95"/>
  <c r="O191" i="95"/>
  <c r="P191" i="95"/>
  <c r="N192" i="95"/>
  <c r="O192" i="95"/>
  <c r="P192" i="95"/>
  <c r="N193" i="95"/>
  <c r="O193" i="95"/>
  <c r="P193" i="95"/>
  <c r="N194" i="95"/>
  <c r="O194" i="95"/>
  <c r="P194" i="95"/>
  <c r="N195" i="95"/>
  <c r="O195" i="95"/>
  <c r="P195" i="95"/>
  <c r="N196" i="95"/>
  <c r="O196" i="95"/>
  <c r="P196" i="95"/>
  <c r="N197" i="95"/>
  <c r="O197" i="95"/>
  <c r="P197" i="95"/>
  <c r="N198" i="95"/>
  <c r="O198" i="95"/>
  <c r="P198" i="95"/>
  <c r="N199" i="95"/>
  <c r="O199" i="95"/>
  <c r="P199" i="95"/>
  <c r="N200" i="95"/>
  <c r="O200" i="95"/>
  <c r="P200" i="95"/>
  <c r="N201" i="95"/>
  <c r="O201" i="95"/>
  <c r="P201" i="95"/>
  <c r="N202" i="95"/>
  <c r="O202" i="95"/>
  <c r="P202" i="95"/>
  <c r="N203" i="95"/>
  <c r="O203" i="95"/>
  <c r="P203" i="95"/>
  <c r="N189" i="95"/>
  <c r="Q189" i="95"/>
  <c r="E205" i="95"/>
  <c r="O189" i="95"/>
  <c r="P189" i="95"/>
  <c r="P190" i="95"/>
  <c r="O190" i="95"/>
  <c r="N190" i="95"/>
  <c r="Q113" i="8"/>
  <c r="L113" i="8"/>
  <c r="H113" i="8"/>
  <c r="Q114" i="8"/>
  <c r="L114" i="8"/>
  <c r="H114" i="8"/>
  <c r="P115" i="8"/>
  <c r="Q115" i="8"/>
  <c r="R115" i="8"/>
  <c r="L115" i="8"/>
  <c r="H115" i="8"/>
  <c r="P116" i="8"/>
  <c r="Q116" i="8"/>
  <c r="R116" i="8"/>
  <c r="L116" i="8"/>
  <c r="H116" i="8"/>
  <c r="P117" i="8"/>
  <c r="Q117" i="8"/>
  <c r="R117" i="8"/>
  <c r="L117" i="8"/>
  <c r="H117" i="8"/>
  <c r="P118" i="8"/>
  <c r="Q118" i="8"/>
  <c r="R118" i="8"/>
  <c r="L118" i="8"/>
  <c r="H118" i="8"/>
  <c r="P119" i="8"/>
  <c r="Q119" i="8"/>
  <c r="R119" i="8"/>
  <c r="L119" i="8"/>
  <c r="H119" i="8"/>
  <c r="P120" i="8"/>
  <c r="Q120" i="8"/>
  <c r="R120" i="8"/>
  <c r="L120" i="8"/>
  <c r="H120" i="8"/>
  <c r="P121" i="8"/>
  <c r="Q121" i="8"/>
  <c r="R121" i="8"/>
  <c r="L121" i="8"/>
  <c r="H121" i="8"/>
  <c r="P112" i="8"/>
  <c r="L112" i="8"/>
  <c r="H112" i="8"/>
  <c r="C72" i="86"/>
  <c r="L30" i="36"/>
  <c r="L31" i="36"/>
  <c r="M31" i="36"/>
  <c r="L35" i="36"/>
  <c r="L36" i="36"/>
  <c r="M36" i="36"/>
  <c r="L40" i="36"/>
  <c r="L41" i="36"/>
  <c r="M41" i="36"/>
  <c r="L45" i="36"/>
  <c r="L46" i="36"/>
  <c r="M46" i="36"/>
  <c r="L50" i="36"/>
  <c r="L51" i="36"/>
  <c r="M51" i="36"/>
  <c r="E53" i="36"/>
  <c r="C63" i="36"/>
  <c r="C79" i="72"/>
  <c r="L14" i="37"/>
  <c r="O16" i="83"/>
  <c r="H9" i="82"/>
  <c r="G15" i="37"/>
  <c r="L15" i="37"/>
  <c r="H15" i="37"/>
  <c r="H14" i="37"/>
  <c r="G14" i="37"/>
  <c r="D94" i="37"/>
  <c r="C104" i="37"/>
  <c r="L16" i="37"/>
  <c r="H9" i="45"/>
  <c r="B57" i="86"/>
  <c r="B55" i="86"/>
  <c r="B28" i="86"/>
  <c r="B26" i="86"/>
  <c r="B11" i="19"/>
  <c r="C115" i="18"/>
  <c r="F61" i="18"/>
  <c r="C71" i="18" s="1"/>
  <c r="G12" i="7"/>
  <c r="D133" i="7"/>
  <c r="C143" i="7"/>
  <c r="G13" i="7"/>
  <c r="C220" i="7"/>
  <c r="G14" i="7"/>
  <c r="G16" i="7"/>
  <c r="N8" i="57"/>
  <c r="B105" i="87"/>
  <c r="B103" i="87"/>
  <c r="B30" i="87"/>
  <c r="O108" i="95"/>
  <c r="N108" i="95"/>
  <c r="O87" i="95"/>
  <c r="N87" i="95"/>
  <c r="N49" i="95"/>
  <c r="F110" i="95"/>
  <c r="F49" i="95"/>
  <c r="N252" i="94"/>
  <c r="N253" i="94"/>
  <c r="N254" i="94"/>
  <c r="N255" i="94"/>
  <c r="N256" i="94"/>
  <c r="N257" i="94"/>
  <c r="N258" i="94"/>
  <c r="N259" i="94"/>
  <c r="N260" i="94"/>
  <c r="N261" i="94"/>
  <c r="N262" i="94"/>
  <c r="N263" i="94"/>
  <c r="N264" i="94"/>
  <c r="N265" i="94"/>
  <c r="N266" i="94"/>
  <c r="N267" i="94"/>
  <c r="O252" i="94"/>
  <c r="O253" i="94"/>
  <c r="O254" i="94"/>
  <c r="O255" i="94"/>
  <c r="O256" i="94"/>
  <c r="O257" i="94"/>
  <c r="O258" i="94"/>
  <c r="O259" i="94"/>
  <c r="O260" i="94"/>
  <c r="O261" i="94"/>
  <c r="O262" i="94"/>
  <c r="O263" i="94"/>
  <c r="O264" i="94"/>
  <c r="O265" i="94"/>
  <c r="O266" i="94"/>
  <c r="O267" i="94"/>
  <c r="D268" i="94"/>
  <c r="C278" i="94"/>
  <c r="U62" i="94"/>
  <c r="T62" i="94"/>
  <c r="S62" i="94"/>
  <c r="R62" i="94"/>
  <c r="Q62" i="94"/>
  <c r="U61" i="94"/>
  <c r="T61" i="94"/>
  <c r="S61" i="94"/>
  <c r="R61" i="94"/>
  <c r="Q61" i="94"/>
  <c r="U60" i="94"/>
  <c r="T60" i="94"/>
  <c r="S60" i="94"/>
  <c r="R60" i="94"/>
  <c r="Q60" i="94"/>
  <c r="U59" i="94"/>
  <c r="T59" i="94"/>
  <c r="S59" i="94"/>
  <c r="R59" i="94"/>
  <c r="Q59" i="94"/>
  <c r="U58" i="94"/>
  <c r="T58" i="94"/>
  <c r="S58" i="94"/>
  <c r="R58" i="94"/>
  <c r="Q58" i="94"/>
  <c r="U57" i="94"/>
  <c r="T57" i="94"/>
  <c r="S57" i="94"/>
  <c r="R57" i="94"/>
  <c r="Q57" i="94"/>
  <c r="U56" i="94"/>
  <c r="T56" i="94"/>
  <c r="S56" i="94"/>
  <c r="R56" i="94"/>
  <c r="Q56" i="94"/>
  <c r="U55" i="94"/>
  <c r="T55" i="94"/>
  <c r="S55" i="94"/>
  <c r="R55" i="94"/>
  <c r="Q55" i="94"/>
  <c r="U54" i="94"/>
  <c r="T54" i="94"/>
  <c r="S54" i="94"/>
  <c r="R54" i="94"/>
  <c r="Q54" i="94"/>
  <c r="U53" i="94"/>
  <c r="T53" i="94"/>
  <c r="S53" i="94"/>
  <c r="R53" i="94"/>
  <c r="Q53" i="94"/>
  <c r="U52" i="94"/>
  <c r="T52" i="94"/>
  <c r="S52" i="94"/>
  <c r="R52" i="94"/>
  <c r="Q52" i="94"/>
  <c r="U51" i="94"/>
  <c r="T51" i="94"/>
  <c r="S51" i="94"/>
  <c r="R51" i="94"/>
  <c r="Q51" i="94"/>
  <c r="U50" i="94"/>
  <c r="T50" i="94"/>
  <c r="S50" i="94"/>
  <c r="R50" i="94"/>
  <c r="Q50" i="94"/>
  <c r="U49" i="94"/>
  <c r="T49" i="94"/>
  <c r="S49" i="94"/>
  <c r="R49" i="94"/>
  <c r="Q49" i="94"/>
  <c r="J59" i="18"/>
  <c r="F59" i="18"/>
  <c r="J58" i="18"/>
  <c r="F58" i="18"/>
  <c r="J57" i="18"/>
  <c r="F57" i="18"/>
  <c r="J56" i="18"/>
  <c r="F56" i="18"/>
  <c r="J55" i="18"/>
  <c r="F55" i="18"/>
  <c r="J54" i="18"/>
  <c r="F54" i="18"/>
  <c r="J53" i="18"/>
  <c r="F53" i="18"/>
  <c r="J52" i="18"/>
  <c r="F52" i="18"/>
  <c r="J51" i="18"/>
  <c r="F51" i="18"/>
  <c r="J50" i="18"/>
  <c r="F50" i="18"/>
  <c r="J49" i="18"/>
  <c r="F49" i="18"/>
  <c r="J48" i="18"/>
  <c r="F48" i="18"/>
  <c r="J47" i="18"/>
  <c r="F47" i="18"/>
  <c r="J46" i="18"/>
  <c r="F46" i="18"/>
  <c r="J45" i="18"/>
  <c r="F45" i="18"/>
  <c r="J44" i="18"/>
  <c r="F44" i="18"/>
  <c r="J43" i="18"/>
  <c r="F43" i="18"/>
  <c r="J42" i="18"/>
  <c r="F42" i="18"/>
  <c r="J41" i="18"/>
  <c r="F41" i="18"/>
  <c r="J40" i="18"/>
  <c r="F40" i="18"/>
  <c r="Q112" i="8"/>
  <c r="I2" i="104"/>
  <c r="K42" i="8"/>
  <c r="K61" i="8"/>
  <c r="K60" i="8"/>
  <c r="K59" i="8"/>
  <c r="K58" i="8"/>
  <c r="K57" i="8"/>
  <c r="K56" i="8"/>
  <c r="K55" i="8"/>
  <c r="K54" i="8"/>
  <c r="K48" i="8"/>
  <c r="K47" i="8"/>
  <c r="K46" i="8"/>
  <c r="K45" i="8"/>
  <c r="K44" i="8"/>
  <c r="P113" i="8"/>
  <c r="P114" i="8"/>
  <c r="R143" i="95"/>
  <c r="S143" i="95"/>
  <c r="R145" i="95"/>
  <c r="T145" i="95"/>
  <c r="S145" i="95"/>
  <c r="R142" i="95"/>
  <c r="S142" i="95"/>
  <c r="S144" i="95"/>
  <c r="S146" i="95"/>
  <c r="S147" i="95"/>
  <c r="S148" i="95"/>
  <c r="S149" i="95"/>
  <c r="S150" i="95"/>
  <c r="S151" i="95"/>
  <c r="S152" i="95"/>
  <c r="S153" i="95"/>
  <c r="S154" i="95"/>
  <c r="S155" i="95"/>
  <c r="S156" i="95"/>
  <c r="R144" i="95"/>
  <c r="T144" i="95"/>
  <c r="R146" i="95"/>
  <c r="T146" i="95"/>
  <c r="R147" i="95"/>
  <c r="T147" i="95"/>
  <c r="R148" i="95"/>
  <c r="T148" i="95"/>
  <c r="R149" i="95"/>
  <c r="T149" i="95"/>
  <c r="R150" i="95"/>
  <c r="T150" i="95"/>
  <c r="R151" i="95"/>
  <c r="T151" i="95"/>
  <c r="R152" i="95"/>
  <c r="T152" i="95"/>
  <c r="R153" i="95"/>
  <c r="T153" i="95"/>
  <c r="R154" i="95"/>
  <c r="T154" i="95"/>
  <c r="R155" i="95"/>
  <c r="T155" i="95"/>
  <c r="R156" i="95"/>
  <c r="T156" i="95"/>
  <c r="O143" i="95"/>
  <c r="Q143" i="95"/>
  <c r="O144" i="95"/>
  <c r="Q144" i="95"/>
  <c r="O142" i="95"/>
  <c r="Q142" i="95"/>
  <c r="O145" i="95"/>
  <c r="Q145" i="95"/>
  <c r="P142" i="95"/>
  <c r="P143" i="95"/>
  <c r="P144" i="95"/>
  <c r="P145" i="95"/>
  <c r="O146" i="95"/>
  <c r="Q146" i="95"/>
  <c r="O147" i="95"/>
  <c r="Q147" i="95"/>
  <c r="O148" i="95"/>
  <c r="Q148" i="95"/>
  <c r="O149" i="95"/>
  <c r="O150" i="95"/>
  <c r="Q150" i="95"/>
  <c r="O151" i="95"/>
  <c r="Q151" i="95"/>
  <c r="O152" i="95"/>
  <c r="Q152" i="95"/>
  <c r="O153" i="95"/>
  <c r="Q153" i="95"/>
  <c r="O154" i="95"/>
  <c r="Q154" i="95"/>
  <c r="O155" i="95"/>
  <c r="Q155" i="95"/>
  <c r="O156" i="95"/>
  <c r="Q156" i="95"/>
  <c r="Q149" i="95"/>
  <c r="P146" i="95"/>
  <c r="P147" i="95"/>
  <c r="P148" i="95"/>
  <c r="P149" i="95"/>
  <c r="P150" i="95"/>
  <c r="P151" i="95"/>
  <c r="P152" i="95"/>
  <c r="P153" i="95"/>
  <c r="P154" i="95"/>
  <c r="P155" i="95"/>
  <c r="P156" i="95"/>
  <c r="E35" i="53"/>
  <c r="E116" i="36"/>
  <c r="C126" i="36"/>
  <c r="G14" i="36"/>
  <c r="L14" i="36"/>
  <c r="B74" i="36"/>
  <c r="B30" i="21"/>
  <c r="D45" i="96"/>
  <c r="N197" i="94"/>
  <c r="O197" i="94"/>
  <c r="P197" i="94"/>
  <c r="Q197" i="94"/>
  <c r="N198" i="94"/>
  <c r="O198" i="94"/>
  <c r="P198" i="94"/>
  <c r="Q198" i="94"/>
  <c r="N199" i="94"/>
  <c r="O199" i="94"/>
  <c r="P199" i="94"/>
  <c r="Q199" i="94"/>
  <c r="N200" i="94"/>
  <c r="O200" i="94"/>
  <c r="P200" i="94"/>
  <c r="Q200" i="94"/>
  <c r="N201" i="94"/>
  <c r="O201" i="94"/>
  <c r="P201" i="94"/>
  <c r="Q201" i="94"/>
  <c r="N202" i="94"/>
  <c r="O202" i="94"/>
  <c r="P202" i="94"/>
  <c r="Q202" i="94"/>
  <c r="N203" i="94"/>
  <c r="O203" i="94"/>
  <c r="P203" i="94"/>
  <c r="Q203" i="94"/>
  <c r="P195" i="94"/>
  <c r="P196" i="94"/>
  <c r="P204" i="94"/>
  <c r="P205" i="94"/>
  <c r="P206" i="94"/>
  <c r="P207" i="94"/>
  <c r="P208" i="94"/>
  <c r="P194" i="94"/>
  <c r="B193" i="94"/>
  <c r="C193" i="94"/>
  <c r="E193" i="94"/>
  <c r="Q196" i="94"/>
  <c r="Q204" i="94"/>
  <c r="Q205" i="94"/>
  <c r="Q206" i="94"/>
  <c r="Q207" i="94"/>
  <c r="Q208" i="94"/>
  <c r="N195" i="94"/>
  <c r="O195" i="94"/>
  <c r="N196" i="94"/>
  <c r="O196" i="94"/>
  <c r="N204" i="94"/>
  <c r="O204" i="94"/>
  <c r="N205" i="94"/>
  <c r="O205" i="94"/>
  <c r="N206" i="94"/>
  <c r="O206" i="94"/>
  <c r="N207" i="94"/>
  <c r="O207" i="94"/>
  <c r="N208" i="94"/>
  <c r="O208" i="94"/>
  <c r="O194" i="94"/>
  <c r="N194" i="94"/>
  <c r="W194" i="94"/>
  <c r="V194" i="94"/>
  <c r="U194" i="94"/>
  <c r="T194" i="94"/>
  <c r="S194" i="94"/>
  <c r="C42" i="93"/>
  <c r="N15" i="93"/>
  <c r="H15" i="93"/>
  <c r="G15" i="93"/>
  <c r="Q195" i="94"/>
  <c r="L31" i="53"/>
  <c r="L32" i="53"/>
  <c r="L33" i="53"/>
  <c r="L30" i="53"/>
  <c r="B323" i="19"/>
  <c r="B170" i="19"/>
  <c r="H114" i="7"/>
  <c r="H116" i="7"/>
  <c r="H122" i="7"/>
  <c r="H123" i="7"/>
  <c r="H124" i="7"/>
  <c r="H125" i="7"/>
  <c r="H126" i="7"/>
  <c r="H127" i="7"/>
  <c r="H128" i="7"/>
  <c r="H129" i="7"/>
  <c r="H130" i="7"/>
  <c r="H131" i="7"/>
  <c r="L113" i="7"/>
  <c r="L114" i="7"/>
  <c r="L115" i="7"/>
  <c r="H115" i="7"/>
  <c r="L116" i="7"/>
  <c r="L122" i="7"/>
  <c r="L123" i="7"/>
  <c r="L124" i="7"/>
  <c r="L125" i="7"/>
  <c r="L126" i="7"/>
  <c r="L127" i="7"/>
  <c r="L128" i="7"/>
  <c r="L129" i="7"/>
  <c r="L130" i="7"/>
  <c r="L131" i="7"/>
  <c r="L112" i="7"/>
  <c r="M112" i="7"/>
  <c r="P52" i="7"/>
  <c r="H112" i="7"/>
  <c r="O227" i="8"/>
  <c r="O228" i="8"/>
  <c r="O229" i="8"/>
  <c r="O230" i="8"/>
  <c r="O231" i="8"/>
  <c r="O232" i="8"/>
  <c r="O233" i="8"/>
  <c r="O234" i="8"/>
  <c r="O235" i="8"/>
  <c r="O226" i="8"/>
  <c r="E238" i="8"/>
  <c r="D175" i="8"/>
  <c r="G97" i="94"/>
  <c r="G39" i="95"/>
  <c r="G40" i="95"/>
  <c r="G41" i="95"/>
  <c r="G42" i="95"/>
  <c r="G43" i="95"/>
  <c r="G44" i="95"/>
  <c r="G45" i="95"/>
  <c r="G46" i="95"/>
  <c r="G47" i="95"/>
  <c r="G38" i="95"/>
  <c r="H135" i="92"/>
  <c r="I135" i="92"/>
  <c r="H132" i="92"/>
  <c r="I132" i="92"/>
  <c r="H129" i="92"/>
  <c r="I129" i="92"/>
  <c r="H126" i="92"/>
  <c r="I126" i="92"/>
  <c r="H123" i="92"/>
  <c r="I123" i="92"/>
  <c r="F36" i="51"/>
  <c r="G45" i="51"/>
  <c r="G50" i="51"/>
  <c r="P150" i="27"/>
  <c r="P151" i="27"/>
  <c r="P152" i="27"/>
  <c r="P153" i="27"/>
  <c r="P154" i="27"/>
  <c r="P155" i="27"/>
  <c r="P156" i="27"/>
  <c r="P157" i="27"/>
  <c r="P158" i="27"/>
  <c r="G98" i="94"/>
  <c r="G99" i="94"/>
  <c r="G100" i="94"/>
  <c r="G101" i="94"/>
  <c r="G102" i="94"/>
  <c r="G103" i="94"/>
  <c r="G104" i="94"/>
  <c r="G105" i="94"/>
  <c r="G106" i="94"/>
  <c r="G107" i="94"/>
  <c r="G108" i="94"/>
  <c r="G109" i="94"/>
  <c r="G110" i="94"/>
  <c r="G111" i="94"/>
  <c r="G112" i="94"/>
  <c r="G97" i="95"/>
  <c r="G98" i="95"/>
  <c r="G99" i="95"/>
  <c r="G100" i="95"/>
  <c r="G94" i="95"/>
  <c r="G95" i="95"/>
  <c r="G96" i="95"/>
  <c r="G101" i="95"/>
  <c r="G102" i="95"/>
  <c r="G103" i="95"/>
  <c r="G104" i="95"/>
  <c r="B101" i="51"/>
  <c r="E78" i="36"/>
  <c r="L121" i="36"/>
  <c r="G105" i="95"/>
  <c r="G106" i="95"/>
  <c r="G107" i="95"/>
  <c r="G108" i="95"/>
  <c r="B31" i="21"/>
  <c r="B55" i="21"/>
  <c r="E174" i="21"/>
  <c r="C184" i="21"/>
  <c r="E146" i="21"/>
  <c r="C156" i="21"/>
  <c r="B141" i="21"/>
  <c r="L41" i="84"/>
  <c r="L42" i="84"/>
  <c r="L43" i="84"/>
  <c r="L44" i="84"/>
  <c r="L45" i="84"/>
  <c r="L46" i="84"/>
  <c r="L47" i="84"/>
  <c r="L48" i="84"/>
  <c r="L49" i="84"/>
  <c r="L40" i="84"/>
  <c r="B29" i="53"/>
  <c r="B27" i="53"/>
  <c r="B50" i="97"/>
  <c r="B48" i="97"/>
  <c r="D56" i="97"/>
  <c r="C65" i="97"/>
  <c r="E65" i="93"/>
  <c r="F97" i="74"/>
  <c r="F98" i="74"/>
  <c r="G98" i="74"/>
  <c r="F99" i="74"/>
  <c r="F100" i="74"/>
  <c r="F101" i="74"/>
  <c r="F102" i="74"/>
  <c r="F103" i="74"/>
  <c r="F104" i="74"/>
  <c r="F105" i="74"/>
  <c r="F106" i="74"/>
  <c r="F107" i="74"/>
  <c r="F108" i="74"/>
  <c r="F109" i="74"/>
  <c r="F110" i="74"/>
  <c r="F111" i="74"/>
  <c r="F112" i="74"/>
  <c r="F113" i="74"/>
  <c r="F114" i="74"/>
  <c r="F115" i="74"/>
  <c r="F96" i="74"/>
  <c r="G97" i="74"/>
  <c r="G99" i="74"/>
  <c r="G100" i="74"/>
  <c r="G101" i="74"/>
  <c r="G102" i="74"/>
  <c r="G103" i="74"/>
  <c r="G104" i="74"/>
  <c r="G105" i="74"/>
  <c r="G106" i="74"/>
  <c r="G107" i="74"/>
  <c r="G108" i="74"/>
  <c r="G109" i="74"/>
  <c r="G110" i="74"/>
  <c r="G111" i="74"/>
  <c r="G112" i="74"/>
  <c r="G113" i="74"/>
  <c r="G114" i="74"/>
  <c r="G115" i="74"/>
  <c r="G96" i="74"/>
  <c r="T72" i="74"/>
  <c r="T70" i="74"/>
  <c r="T75" i="74"/>
  <c r="T77" i="74"/>
  <c r="T79" i="74"/>
  <c r="T80" i="74"/>
  <c r="T82" i="74"/>
  <c r="T83" i="74"/>
  <c r="T85" i="74"/>
  <c r="T69" i="74"/>
  <c r="Q97" i="74"/>
  <c r="O69" i="74"/>
  <c r="O78" i="74"/>
  <c r="O74" i="74"/>
  <c r="O75" i="74"/>
  <c r="O76" i="74"/>
  <c r="O77" i="74"/>
  <c r="O72" i="74"/>
  <c r="O73" i="74"/>
  <c r="O71" i="74"/>
  <c r="O70" i="74"/>
  <c r="C58" i="74"/>
  <c r="B77" i="89"/>
  <c r="B76" i="89"/>
  <c r="B49" i="89"/>
  <c r="O69" i="30"/>
  <c r="O70" i="30"/>
  <c r="O71" i="30"/>
  <c r="O72" i="30"/>
  <c r="O73" i="30"/>
  <c r="O74" i="30"/>
  <c r="O75" i="30"/>
  <c r="O76" i="30"/>
  <c r="O77" i="30"/>
  <c r="O78" i="30"/>
  <c r="O79" i="30"/>
  <c r="O80" i="30"/>
  <c r="O81" i="30"/>
  <c r="O82" i="30"/>
  <c r="O83" i="30"/>
  <c r="D85" i="30"/>
  <c r="C100" i="30"/>
  <c r="B29" i="88"/>
  <c r="B27" i="88"/>
  <c r="B68" i="83"/>
  <c r="B39" i="83"/>
  <c r="C43" i="83"/>
  <c r="B41" i="83"/>
  <c r="B40" i="83"/>
  <c r="B55" i="85"/>
  <c r="B57" i="85"/>
  <c r="Q96" i="74"/>
  <c r="R115" i="74"/>
  <c r="P115" i="74"/>
  <c r="Q114" i="74"/>
  <c r="R113" i="74"/>
  <c r="P113" i="74"/>
  <c r="Q112" i="74"/>
  <c r="R111" i="74"/>
  <c r="P111" i="74"/>
  <c r="Q110" i="74"/>
  <c r="R109" i="74"/>
  <c r="P109" i="74"/>
  <c r="Q108" i="74"/>
  <c r="R107" i="74"/>
  <c r="P107" i="74"/>
  <c r="Q106" i="74"/>
  <c r="R105" i="74"/>
  <c r="P105" i="74"/>
  <c r="Q104" i="74"/>
  <c r="R103" i="74"/>
  <c r="P103" i="74"/>
  <c r="Q102" i="74"/>
  <c r="R101" i="74"/>
  <c r="P101" i="74"/>
  <c r="Q100" i="74"/>
  <c r="R99" i="74"/>
  <c r="P99" i="74"/>
  <c r="Q98" i="74"/>
  <c r="R97" i="74"/>
  <c r="P97" i="74"/>
  <c r="P96" i="74"/>
  <c r="R96" i="74"/>
  <c r="Q115" i="74"/>
  <c r="R114" i="74"/>
  <c r="P114" i="74"/>
  <c r="Q113" i="74"/>
  <c r="R112" i="74"/>
  <c r="P112" i="74"/>
  <c r="Q111" i="74"/>
  <c r="R110" i="74"/>
  <c r="P110" i="74"/>
  <c r="Q109" i="74"/>
  <c r="R108" i="74"/>
  <c r="P108" i="74"/>
  <c r="Q107" i="74"/>
  <c r="R106" i="74"/>
  <c r="P106" i="74"/>
  <c r="Q105" i="74"/>
  <c r="R104" i="74"/>
  <c r="P104" i="74"/>
  <c r="Q103" i="74"/>
  <c r="R102" i="74"/>
  <c r="P102" i="74"/>
  <c r="Q101" i="74"/>
  <c r="R100" i="74"/>
  <c r="P100" i="74"/>
  <c r="Q99" i="74"/>
  <c r="R98" i="74"/>
  <c r="P98" i="74"/>
  <c r="E51" i="84"/>
  <c r="C74" i="93"/>
  <c r="D117" i="74"/>
  <c r="E25" i="85"/>
  <c r="B61" i="85"/>
  <c r="B60" i="85"/>
  <c r="B58" i="85"/>
  <c r="B59" i="85"/>
  <c r="H138" i="92"/>
  <c r="I138" i="92"/>
  <c r="H120" i="92"/>
  <c r="I120" i="92"/>
  <c r="H144" i="92"/>
  <c r="I144" i="92"/>
  <c r="H141" i="92"/>
  <c r="I141" i="92"/>
  <c r="H117" i="92"/>
  <c r="I117" i="92"/>
  <c r="H114" i="92"/>
  <c r="I114" i="92"/>
  <c r="H111" i="92"/>
  <c r="I111" i="92"/>
  <c r="H108" i="92"/>
  <c r="I108" i="92"/>
  <c r="I105" i="92"/>
  <c r="H105" i="92"/>
  <c r="E49" i="92"/>
  <c r="E50" i="92"/>
  <c r="E51" i="92"/>
  <c r="E52" i="92"/>
  <c r="E53" i="92"/>
  <c r="E54" i="92"/>
  <c r="G13" i="41"/>
  <c r="B30" i="88"/>
  <c r="B185" i="95"/>
  <c r="B274" i="94"/>
  <c r="N274" i="94"/>
  <c r="B273" i="94"/>
  <c r="N273" i="94"/>
  <c r="C279" i="94"/>
  <c r="C127" i="74"/>
  <c r="N27" i="74"/>
  <c r="N28" i="74"/>
  <c r="N29" i="74"/>
  <c r="N30" i="74"/>
  <c r="N31" i="74"/>
  <c r="N32" i="74"/>
  <c r="N33" i="74"/>
  <c r="N34" i="74"/>
  <c r="N35" i="74"/>
  <c r="N36" i="74"/>
  <c r="N37" i="74"/>
  <c r="N38" i="74"/>
  <c r="N39" i="74"/>
  <c r="N40" i="74"/>
  <c r="N41" i="74"/>
  <c r="N42" i="74"/>
  <c r="N43" i="74"/>
  <c r="N44" i="74"/>
  <c r="N45" i="74"/>
  <c r="N46" i="74"/>
  <c r="N163" i="95"/>
  <c r="B211" i="95"/>
  <c r="N211" i="95"/>
  <c r="N210" i="95"/>
  <c r="D48" i="74"/>
  <c r="L38" i="72"/>
  <c r="L48" i="72"/>
  <c r="L43" i="72"/>
  <c r="L147" i="36"/>
  <c r="L146" i="36"/>
  <c r="L141" i="36"/>
  <c r="L142" i="36"/>
  <c r="L143" i="36"/>
  <c r="L144" i="36"/>
  <c r="L145" i="36"/>
  <c r="L140" i="36"/>
  <c r="E157" i="36"/>
  <c r="C167" i="36"/>
  <c r="G15" i="36"/>
  <c r="L15" i="36"/>
  <c r="L326" i="19"/>
  <c r="L173" i="19"/>
  <c r="L174" i="19"/>
  <c r="L175" i="19"/>
  <c r="L176" i="19"/>
  <c r="L177" i="19"/>
  <c r="E179" i="19"/>
  <c r="L25" i="19"/>
  <c r="L330" i="19"/>
  <c r="F330" i="19"/>
  <c r="D330" i="19"/>
  <c r="L329" i="19"/>
  <c r="F329" i="19"/>
  <c r="D329" i="19"/>
  <c r="L328" i="19"/>
  <c r="F328" i="19"/>
  <c r="D328" i="19"/>
  <c r="L327" i="19"/>
  <c r="E332" i="19"/>
  <c r="F327" i="19"/>
  <c r="D327" i="19"/>
  <c r="F326" i="19"/>
  <c r="D326" i="19"/>
  <c r="E325" i="19"/>
  <c r="C325" i="19"/>
  <c r="H18" i="19"/>
  <c r="L18" i="19"/>
  <c r="F177" i="19"/>
  <c r="F176" i="19"/>
  <c r="F175" i="19"/>
  <c r="F174" i="19"/>
  <c r="F173" i="19"/>
  <c r="D174" i="19"/>
  <c r="D175" i="19"/>
  <c r="D176" i="19"/>
  <c r="D177" i="19"/>
  <c r="D173" i="19"/>
  <c r="E172" i="19"/>
  <c r="C172" i="19"/>
  <c r="H19" i="19"/>
  <c r="L19" i="19"/>
  <c r="E299" i="19"/>
  <c r="H293" i="19"/>
  <c r="G293" i="19"/>
  <c r="H291" i="19"/>
  <c r="G291" i="19"/>
  <c r="H290" i="19"/>
  <c r="H294" i="19"/>
  <c r="G290" i="19"/>
  <c r="G294" i="19"/>
  <c r="H286" i="19"/>
  <c r="G286" i="19"/>
  <c r="H285" i="19"/>
  <c r="G285" i="19"/>
  <c r="H284" i="19"/>
  <c r="H287" i="19"/>
  <c r="G284" i="19"/>
  <c r="G287" i="19"/>
  <c r="H280" i="19"/>
  <c r="G280" i="19"/>
  <c r="H279" i="19"/>
  <c r="G279" i="19"/>
  <c r="H278" i="19"/>
  <c r="H281" i="19"/>
  <c r="G278" i="19"/>
  <c r="G281" i="19"/>
  <c r="N273" i="19"/>
  <c r="M273" i="19"/>
  <c r="H273" i="19"/>
  <c r="G273" i="19"/>
  <c r="N271" i="19"/>
  <c r="M271" i="19"/>
  <c r="H271" i="19"/>
  <c r="G271" i="19"/>
  <c r="N269" i="19"/>
  <c r="N275" i="19"/>
  <c r="M269" i="19"/>
  <c r="M275" i="19"/>
  <c r="H269" i="19"/>
  <c r="H275" i="19"/>
  <c r="G269" i="19"/>
  <c r="G275" i="19"/>
  <c r="L23" i="19"/>
  <c r="L24" i="19"/>
  <c r="H14" i="93"/>
  <c r="G14" i="93"/>
  <c r="G14" i="97"/>
  <c r="H9" i="49"/>
  <c r="W38" i="28"/>
  <c r="X38" i="28"/>
  <c r="W39" i="28"/>
  <c r="X39" i="28"/>
  <c r="W40" i="28"/>
  <c r="X40" i="28"/>
  <c r="W41" i="28"/>
  <c r="X41" i="28"/>
  <c r="W42" i="28"/>
  <c r="X42" i="28"/>
  <c r="W43" i="28"/>
  <c r="X43" i="28"/>
  <c r="W44" i="28"/>
  <c r="X44" i="28"/>
  <c r="W45" i="28"/>
  <c r="X45" i="28"/>
  <c r="W46" i="28"/>
  <c r="X46" i="28"/>
  <c r="W47" i="28"/>
  <c r="X47" i="28"/>
  <c r="W48" i="28"/>
  <c r="X48" i="28"/>
  <c r="W49" i="28"/>
  <c r="X49" i="28"/>
  <c r="W50" i="28"/>
  <c r="X50" i="28"/>
  <c r="W51" i="28"/>
  <c r="X51" i="28"/>
  <c r="W52" i="28"/>
  <c r="X52" i="28"/>
  <c r="W53" i="28"/>
  <c r="X53" i="28"/>
  <c r="W54" i="28"/>
  <c r="X54" i="28"/>
  <c r="W55" i="28"/>
  <c r="X55" i="28"/>
  <c r="W56" i="28"/>
  <c r="X56" i="28"/>
  <c r="O199" i="8"/>
  <c r="O200" i="8"/>
  <c r="P317" i="8"/>
  <c r="P313" i="8"/>
  <c r="H16" i="8"/>
  <c r="P321" i="8"/>
  <c r="L41" i="51"/>
  <c r="L42" i="51"/>
  <c r="L43" i="51"/>
  <c r="L40" i="51"/>
  <c r="M42" i="51"/>
  <c r="M43" i="51"/>
  <c r="M41" i="51"/>
  <c r="M40" i="51"/>
  <c r="M39" i="51"/>
  <c r="L39" i="51"/>
  <c r="M38" i="51"/>
  <c r="L38" i="51"/>
  <c r="M37" i="51"/>
  <c r="L37" i="51"/>
  <c r="L32" i="37"/>
  <c r="I18" i="19"/>
  <c r="I19" i="19"/>
  <c r="N116" i="19"/>
  <c r="H116" i="19"/>
  <c r="N118" i="19"/>
  <c r="H118" i="19"/>
  <c r="M118" i="19"/>
  <c r="G118" i="19"/>
  <c r="M116" i="19"/>
  <c r="G116" i="19"/>
  <c r="N114" i="19"/>
  <c r="H114" i="19"/>
  <c r="M114" i="19"/>
  <c r="G114" i="19"/>
  <c r="N120" i="19"/>
  <c r="M120" i="19"/>
  <c r="N54" i="96"/>
  <c r="N55" i="96"/>
  <c r="N56" i="96"/>
  <c r="N57" i="96"/>
  <c r="N53" i="96"/>
  <c r="H42" i="96"/>
  <c r="N42" i="96"/>
  <c r="G43" i="96"/>
  <c r="F43" i="96"/>
  <c r="E43" i="96"/>
  <c r="D43" i="96"/>
  <c r="H43" i="96"/>
  <c r="C43" i="96"/>
  <c r="H40" i="96"/>
  <c r="N40" i="96"/>
  <c r="H39" i="96"/>
  <c r="N39" i="96"/>
  <c r="H37" i="96"/>
  <c r="N37" i="96"/>
  <c r="H36" i="96"/>
  <c r="N36" i="96"/>
  <c r="H35" i="96"/>
  <c r="N35" i="96"/>
  <c r="H33" i="96"/>
  <c r="N33" i="96"/>
  <c r="H32" i="96"/>
  <c r="N32" i="96"/>
  <c r="H29" i="96"/>
  <c r="N29" i="96"/>
  <c r="H30" i="96"/>
  <c r="N30" i="96"/>
  <c r="H28" i="96"/>
  <c r="N28" i="96"/>
  <c r="B170" i="21"/>
  <c r="N85" i="21"/>
  <c r="E59" i="21"/>
  <c r="B57" i="21"/>
  <c r="B56" i="21"/>
  <c r="E35" i="86"/>
  <c r="G38" i="113"/>
  <c r="E78" i="87"/>
  <c r="B67" i="87"/>
  <c r="E43" i="87"/>
  <c r="L84" i="87"/>
  <c r="E62" i="86"/>
  <c r="E112" i="21"/>
  <c r="E120" i="21"/>
  <c r="C130" i="21"/>
  <c r="N84" i="21"/>
  <c r="N123" i="74"/>
  <c r="N122" i="74"/>
  <c r="C128" i="74" s="1"/>
  <c r="N15" i="74"/>
  <c r="H19" i="47"/>
  <c r="G15" i="74"/>
  <c r="G14" i="74"/>
  <c r="G14" i="89"/>
  <c r="H15" i="74"/>
  <c r="H14" i="74"/>
  <c r="H14" i="97"/>
  <c r="D26" i="97"/>
  <c r="C35" i="97"/>
  <c r="C75" i="93"/>
  <c r="N65" i="96"/>
  <c r="N163" i="94"/>
  <c r="E46" i="92"/>
  <c r="E47" i="92"/>
  <c r="E48" i="92"/>
  <c r="E55" i="92"/>
  <c r="E44" i="92"/>
  <c r="E45" i="92"/>
  <c r="E56" i="92"/>
  <c r="E57" i="92"/>
  <c r="E58" i="92"/>
  <c r="E59" i="92"/>
  <c r="E60" i="92"/>
  <c r="E61" i="92"/>
  <c r="E62" i="92"/>
  <c r="C69" i="96"/>
  <c r="L58" i="36"/>
  <c r="O247" i="8"/>
  <c r="E152" i="83"/>
  <c r="E151" i="83"/>
  <c r="E150" i="83"/>
  <c r="P147" i="83"/>
  <c r="P138" i="83"/>
  <c r="G11" i="19"/>
  <c r="E27" i="35"/>
  <c r="J58" i="30"/>
  <c r="O58" i="30"/>
  <c r="J57" i="30"/>
  <c r="O57" i="30"/>
  <c r="J56" i="30"/>
  <c r="O56" i="30"/>
  <c r="J55" i="30"/>
  <c r="O55" i="30"/>
  <c r="J54" i="30"/>
  <c r="O54" i="30"/>
  <c r="J53" i="30"/>
  <c r="O53" i="30"/>
  <c r="J52" i="30"/>
  <c r="O52" i="30"/>
  <c r="G13" i="86"/>
  <c r="L13" i="86"/>
  <c r="E119" i="84"/>
  <c r="S122" i="8"/>
  <c r="O314" i="8"/>
  <c r="C185" i="8"/>
  <c r="H14" i="8"/>
  <c r="O131" i="8"/>
  <c r="D59" i="37"/>
  <c r="L36" i="37"/>
  <c r="M33" i="37"/>
  <c r="M34" i="37"/>
  <c r="M35" i="37"/>
  <c r="M36" i="37"/>
  <c r="M32" i="37"/>
  <c r="L33" i="37"/>
  <c r="L34" i="37"/>
  <c r="L35" i="37"/>
  <c r="O14" i="8"/>
  <c r="E38" i="90"/>
  <c r="O26" i="90"/>
  <c r="P26" i="90"/>
  <c r="E26" i="90"/>
  <c r="E36" i="90"/>
  <c r="D41" i="90"/>
  <c r="N15" i="89"/>
  <c r="E79" i="89"/>
  <c r="D52" i="89"/>
  <c r="D241" i="7"/>
  <c r="Q46" i="28"/>
  <c r="R46" i="28"/>
  <c r="Q45" i="28"/>
  <c r="R45" i="28"/>
  <c r="Q44" i="28"/>
  <c r="R44" i="28"/>
  <c r="Q43" i="28"/>
  <c r="R43" i="28"/>
  <c r="Q42" i="28"/>
  <c r="R42" i="28"/>
  <c r="C87" i="36"/>
  <c r="C52" i="87"/>
  <c r="C88" i="87"/>
  <c r="N22" i="98"/>
  <c r="N23" i="98"/>
  <c r="N24" i="98"/>
  <c r="N25" i="98"/>
  <c r="N26" i="98"/>
  <c r="N27" i="98"/>
  <c r="N32" i="91"/>
  <c r="N33" i="91"/>
  <c r="N34" i="91"/>
  <c r="G12" i="91"/>
  <c r="H14" i="47"/>
  <c r="L12" i="25"/>
  <c r="N31" i="91"/>
  <c r="B45" i="91"/>
  <c r="N45" i="91"/>
  <c r="N46" i="90"/>
  <c r="Q155" i="27"/>
  <c r="Q154" i="27"/>
  <c r="Q153" i="27"/>
  <c r="Q152" i="27"/>
  <c r="Q151" i="27"/>
  <c r="B58" i="89"/>
  <c r="N58" i="89"/>
  <c r="G61" i="7"/>
  <c r="G62" i="7"/>
  <c r="G63" i="7"/>
  <c r="G64" i="7"/>
  <c r="G65" i="7"/>
  <c r="G66" i="7"/>
  <c r="G68" i="7"/>
  <c r="G69" i="7"/>
  <c r="G70" i="7"/>
  <c r="G71" i="7"/>
  <c r="G72" i="7"/>
  <c r="G73" i="7"/>
  <c r="G74" i="7"/>
  <c r="G75" i="7"/>
  <c r="N52" i="7"/>
  <c r="O52" i="7"/>
  <c r="I15" i="83"/>
  <c r="J16" i="83"/>
  <c r="I16" i="83"/>
  <c r="J15" i="83"/>
  <c r="C113" i="83"/>
  <c r="E134" i="61"/>
  <c r="E108" i="69"/>
  <c r="H131" i="19"/>
  <c r="G131" i="19"/>
  <c r="H130" i="19"/>
  <c r="G130" i="19"/>
  <c r="H129" i="19"/>
  <c r="G129" i="19"/>
  <c r="G132" i="19"/>
  <c r="G123" i="19"/>
  <c r="G124" i="19"/>
  <c r="H124" i="19"/>
  <c r="G125" i="19"/>
  <c r="H125" i="19"/>
  <c r="H123" i="19"/>
  <c r="G135" i="19"/>
  <c r="G136" i="19"/>
  <c r="G138" i="19"/>
  <c r="H120" i="19"/>
  <c r="H132" i="19"/>
  <c r="H135" i="19"/>
  <c r="H136" i="19"/>
  <c r="H138" i="19"/>
  <c r="E44" i="89"/>
  <c r="C62" i="89"/>
  <c r="C88" i="89"/>
  <c r="H15" i="89"/>
  <c r="Q150" i="27"/>
  <c r="Q156" i="27"/>
  <c r="Q157" i="27"/>
  <c r="Q158" i="27"/>
  <c r="N33" i="24"/>
  <c r="N34" i="24"/>
  <c r="N35" i="24"/>
  <c r="N36" i="24"/>
  <c r="N37" i="24"/>
  <c r="N38" i="24"/>
  <c r="N39" i="24"/>
  <c r="N40" i="24"/>
  <c r="N41" i="24"/>
  <c r="N42" i="24"/>
  <c r="N43" i="24"/>
  <c r="N44" i="24"/>
  <c r="N32" i="24"/>
  <c r="N31" i="24"/>
  <c r="N30" i="24"/>
  <c r="D46" i="24"/>
  <c r="C56" i="24"/>
  <c r="G12" i="24"/>
  <c r="H10" i="47"/>
  <c r="L7" i="25"/>
  <c r="L195" i="7"/>
  <c r="L196" i="7"/>
  <c r="L204" i="7"/>
  <c r="L205" i="7"/>
  <c r="L206" i="7"/>
  <c r="L207" i="7"/>
  <c r="L208" i="7"/>
  <c r="D258" i="7"/>
  <c r="C268" i="7"/>
  <c r="G15" i="7"/>
  <c r="L15" i="7"/>
  <c r="G18" i="21"/>
  <c r="N18" i="21"/>
  <c r="G19" i="21"/>
  <c r="N19" i="21"/>
  <c r="W37" i="28"/>
  <c r="X37" i="28"/>
  <c r="Q37" i="28"/>
  <c r="R37" i="28"/>
  <c r="Q38" i="28"/>
  <c r="R38" i="28"/>
  <c r="Q39" i="28"/>
  <c r="R39" i="28"/>
  <c r="Q40" i="28"/>
  <c r="R40" i="28"/>
  <c r="Q41" i="28"/>
  <c r="R41" i="28"/>
  <c r="Q47" i="28"/>
  <c r="R47" i="28"/>
  <c r="Q48" i="28"/>
  <c r="R48" i="28"/>
  <c r="Q49" i="28"/>
  <c r="R49" i="28"/>
  <c r="Q50" i="28"/>
  <c r="R50" i="28"/>
  <c r="Q51" i="28"/>
  <c r="R51" i="28"/>
  <c r="Q52" i="28"/>
  <c r="R52" i="28"/>
  <c r="Q53" i="28"/>
  <c r="R53" i="28"/>
  <c r="Q54" i="28"/>
  <c r="R54" i="28"/>
  <c r="Q55" i="28"/>
  <c r="R55" i="28"/>
  <c r="Q56" i="28"/>
  <c r="R56" i="28"/>
  <c r="M31" i="53"/>
  <c r="M32" i="53"/>
  <c r="M33" i="53"/>
  <c r="M30" i="53"/>
  <c r="C263" i="7"/>
  <c r="E149" i="83"/>
  <c r="C163" i="83"/>
  <c r="O201" i="8"/>
  <c r="O202" i="8"/>
  <c r="O203" i="8"/>
  <c r="O204" i="8"/>
  <c r="O205" i="8"/>
  <c r="O206" i="8"/>
  <c r="O207" i="8"/>
  <c r="O208" i="8"/>
  <c r="I119" i="8"/>
  <c r="S113" i="8"/>
  <c r="S114" i="8"/>
  <c r="R114" i="8"/>
  <c r="V114" i="8"/>
  <c r="S115" i="8"/>
  <c r="Y115" i="8"/>
  <c r="S116" i="8"/>
  <c r="V116" i="8"/>
  <c r="S117" i="8"/>
  <c r="Y117" i="8"/>
  <c r="S118" i="8"/>
  <c r="V118" i="8"/>
  <c r="S119" i="8"/>
  <c r="Y119" i="8"/>
  <c r="S120" i="8"/>
  <c r="W120" i="8"/>
  <c r="S121" i="8"/>
  <c r="Y121" i="8"/>
  <c r="S112" i="8"/>
  <c r="W112" i="8"/>
  <c r="X115" i="8"/>
  <c r="U120" i="8"/>
  <c r="E113" i="21"/>
  <c r="E114" i="21"/>
  <c r="E115" i="21"/>
  <c r="E116" i="21"/>
  <c r="N86" i="21"/>
  <c r="C69" i="21"/>
  <c r="E34" i="21"/>
  <c r="C44" i="21"/>
  <c r="L17" i="25"/>
  <c r="M195" i="7"/>
  <c r="M196" i="7"/>
  <c r="M204" i="7"/>
  <c r="M205" i="7"/>
  <c r="M206" i="7"/>
  <c r="M207" i="7"/>
  <c r="M208" i="7"/>
  <c r="M194" i="7"/>
  <c r="L194" i="7"/>
  <c r="F93" i="84"/>
  <c r="C101" i="84"/>
  <c r="O113" i="84"/>
  <c r="O114" i="84"/>
  <c r="O115" i="84"/>
  <c r="O116" i="84"/>
  <c r="O117" i="84"/>
  <c r="C129" i="84"/>
  <c r="G16" i="84"/>
  <c r="L16" i="84"/>
  <c r="D31" i="85"/>
  <c r="C41" i="85"/>
  <c r="G12" i="85"/>
  <c r="N68" i="85"/>
  <c r="D78" i="85"/>
  <c r="B67" i="85"/>
  <c r="E68" i="85"/>
  <c r="B68" i="85"/>
  <c r="B64" i="85"/>
  <c r="L84" i="85"/>
  <c r="L56" i="84"/>
  <c r="B125" i="84"/>
  <c r="L125" i="84"/>
  <c r="L40" i="86"/>
  <c r="C45" i="86" s="1"/>
  <c r="H12" i="86" s="1"/>
  <c r="E18" i="25"/>
  <c r="S6" i="57"/>
  <c r="C81" i="84"/>
  <c r="Q59" i="85"/>
  <c r="Q58" i="85"/>
  <c r="Q57" i="85"/>
  <c r="N29" i="98"/>
  <c r="N28" i="98"/>
  <c r="K99" i="83"/>
  <c r="J99" i="83"/>
  <c r="I99" i="83"/>
  <c r="K98" i="83"/>
  <c r="K100" i="83"/>
  <c r="J98" i="83"/>
  <c r="I98" i="83"/>
  <c r="H92" i="83"/>
  <c r="H99" i="83"/>
  <c r="G92" i="83"/>
  <c r="G99" i="83"/>
  <c r="F92" i="83"/>
  <c r="F99" i="83"/>
  <c r="E92" i="83"/>
  <c r="E99" i="83"/>
  <c r="D92" i="83"/>
  <c r="D98" i="83"/>
  <c r="J100" i="83"/>
  <c r="C37" i="35"/>
  <c r="G12" i="35"/>
  <c r="H6" i="50"/>
  <c r="L29" i="25"/>
  <c r="E39" i="90"/>
  <c r="O27" i="90"/>
  <c r="O28" i="90"/>
  <c r="P28" i="90"/>
  <c r="E28" i="90"/>
  <c r="O29" i="90"/>
  <c r="P29" i="90"/>
  <c r="E29" i="90"/>
  <c r="O30" i="90"/>
  <c r="P30" i="90"/>
  <c r="E30" i="90"/>
  <c r="O31" i="90"/>
  <c r="P31" i="90"/>
  <c r="E31" i="90"/>
  <c r="O32" i="90"/>
  <c r="P32" i="90"/>
  <c r="E32" i="90"/>
  <c r="O33" i="90"/>
  <c r="P33" i="90"/>
  <c r="E33" i="90"/>
  <c r="O34" i="90"/>
  <c r="P34" i="90"/>
  <c r="E34" i="90"/>
  <c r="O35" i="90"/>
  <c r="P35" i="90"/>
  <c r="E35" i="90"/>
  <c r="F39" i="90"/>
  <c r="C51" i="90"/>
  <c r="C44" i="86"/>
  <c r="E104" i="18"/>
  <c r="G13" i="18"/>
  <c r="M13" i="18"/>
  <c r="K26" i="25"/>
  <c r="E24" i="25"/>
  <c r="K34" i="25"/>
  <c r="S12" i="57"/>
  <c r="E40" i="25"/>
  <c r="K19" i="25"/>
  <c r="C61" i="84"/>
  <c r="C56" i="83"/>
  <c r="E31" i="25"/>
  <c r="K40" i="25"/>
  <c r="J50" i="30"/>
  <c r="O50" i="30"/>
  <c r="G9" i="46"/>
  <c r="G21" i="47"/>
  <c r="J51" i="30"/>
  <c r="O51" i="30"/>
  <c r="J59" i="30"/>
  <c r="O59" i="30"/>
  <c r="J60" i="30"/>
  <c r="O60" i="30"/>
  <c r="J61" i="30"/>
  <c r="O61" i="30"/>
  <c r="J62" i="30"/>
  <c r="O62" i="30"/>
  <c r="J63" i="30"/>
  <c r="O63" i="30"/>
  <c r="J49" i="30"/>
  <c r="O49" i="30"/>
  <c r="L33" i="72"/>
  <c r="L28" i="72"/>
  <c r="B5" i="50"/>
  <c r="S8" i="57"/>
  <c r="O9" i="57"/>
  <c r="O8" i="57"/>
  <c r="O7" i="57"/>
  <c r="B4" i="52"/>
  <c r="G8" i="52"/>
  <c r="G11" i="50"/>
  <c r="G13" i="49"/>
  <c r="G10" i="45"/>
  <c r="S10" i="57"/>
  <c r="S13" i="57"/>
  <c r="S11" i="57"/>
  <c r="S7" i="57"/>
  <c r="I121" i="8"/>
  <c r="M130" i="7"/>
  <c r="M128" i="7"/>
  <c r="M126" i="7"/>
  <c r="M124" i="7"/>
  <c r="M122" i="7"/>
  <c r="M115" i="7"/>
  <c r="M131" i="7"/>
  <c r="M129" i="7"/>
  <c r="M127" i="7"/>
  <c r="M125" i="7"/>
  <c r="M123" i="7"/>
  <c r="M116" i="7"/>
  <c r="M114" i="7"/>
  <c r="M113" i="7"/>
  <c r="E31" i="98"/>
  <c r="C45" i="98"/>
  <c r="G12" i="98"/>
  <c r="H12" i="49"/>
  <c r="L25" i="25"/>
  <c r="I100" i="83"/>
  <c r="E210" i="8"/>
  <c r="L13" i="51"/>
  <c r="O12" i="27"/>
  <c r="O13" i="27"/>
  <c r="G15" i="21"/>
  <c r="F12" i="84"/>
  <c r="G98" i="83"/>
  <c r="G100" i="83"/>
  <c r="E98" i="83"/>
  <c r="E100" i="83"/>
  <c r="F98" i="83"/>
  <c r="F100" i="83"/>
  <c r="D99" i="83"/>
  <c r="D100" i="83"/>
  <c r="H98" i="83"/>
  <c r="H100" i="83"/>
  <c r="W116" i="8"/>
  <c r="X118" i="8"/>
  <c r="C45" i="53"/>
  <c r="G12" i="53"/>
  <c r="H12" i="41"/>
  <c r="G12" i="96"/>
  <c r="H20" i="47"/>
  <c r="L18" i="25"/>
  <c r="E88" i="21"/>
  <c r="C98" i="21"/>
  <c r="G13" i="87"/>
  <c r="L13" i="87"/>
  <c r="G12" i="87"/>
  <c r="L12" i="87"/>
  <c r="G14" i="87"/>
  <c r="L14" i="87"/>
  <c r="G12" i="21"/>
  <c r="C45" i="21"/>
  <c r="H12" i="21"/>
  <c r="G17" i="21"/>
  <c r="G20" i="21"/>
  <c r="H11" i="49"/>
  <c r="N15" i="97"/>
  <c r="H10" i="49"/>
  <c r="H13" i="49"/>
  <c r="G13" i="36"/>
  <c r="L13" i="36"/>
  <c r="G15" i="97"/>
  <c r="H15" i="97"/>
  <c r="I14" i="83"/>
  <c r="F37" i="25"/>
  <c r="G126" i="19"/>
  <c r="H139" i="19"/>
  <c r="G139" i="19"/>
  <c r="G120" i="19"/>
  <c r="H126" i="19"/>
  <c r="G12" i="86"/>
  <c r="G12" i="36"/>
  <c r="L12" i="36"/>
  <c r="C264" i="7"/>
  <c r="C88" i="85"/>
  <c r="C84" i="89"/>
  <c r="I117" i="8"/>
  <c r="O114" i="8"/>
  <c r="U114" i="8"/>
  <c r="T118" i="8"/>
  <c r="Y116" i="8"/>
  <c r="U116" i="8"/>
  <c r="T114" i="8"/>
  <c r="V120" i="8"/>
  <c r="Y120" i="8"/>
  <c r="W117" i="8"/>
  <c r="R112" i="8"/>
  <c r="I112" i="8"/>
  <c r="T117" i="8"/>
  <c r="V117" i="8"/>
  <c r="T121" i="8"/>
  <c r="U119" i="8"/>
  <c r="X114" i="8"/>
  <c r="W114" i="8"/>
  <c r="W121" i="8"/>
  <c r="X119" i="8"/>
  <c r="I116" i="8"/>
  <c r="I114" i="8"/>
  <c r="X116" i="8"/>
  <c r="T116" i="8"/>
  <c r="U118" i="8"/>
  <c r="U117" i="8"/>
  <c r="T120" i="8"/>
  <c r="X120" i="8"/>
  <c r="X112" i="8"/>
  <c r="W118" i="8"/>
  <c r="Y118" i="8"/>
  <c r="Y112" i="8"/>
  <c r="V121" i="8"/>
  <c r="V119" i="8"/>
  <c r="T119" i="8"/>
  <c r="W119" i="8"/>
  <c r="W115" i="8"/>
  <c r="U121" i="8"/>
  <c r="X121" i="8"/>
  <c r="X117" i="8"/>
  <c r="V115" i="8"/>
  <c r="G5" i="82"/>
  <c r="E7" i="25"/>
  <c r="G15" i="84"/>
  <c r="E58" i="28"/>
  <c r="E59" i="28"/>
  <c r="C70" i="28"/>
  <c r="P27" i="90"/>
  <c r="E27" i="90"/>
  <c r="F38" i="90"/>
  <c r="G12" i="90"/>
  <c r="H13" i="47"/>
  <c r="L11" i="25"/>
  <c r="G15" i="89"/>
  <c r="H12" i="47"/>
  <c r="L9" i="25"/>
  <c r="I118" i="8"/>
  <c r="O14" i="27"/>
  <c r="L14" i="7"/>
  <c r="H113" i="7"/>
  <c r="G14" i="86"/>
  <c r="H9" i="50"/>
  <c r="L32" i="25"/>
  <c r="L12" i="86"/>
  <c r="E102" i="83"/>
  <c r="G16" i="36"/>
  <c r="H7" i="50"/>
  <c r="L30" i="25"/>
  <c r="O15" i="27"/>
  <c r="H11" i="47"/>
  <c r="L8" i="25"/>
  <c r="N15" i="21"/>
  <c r="L15" i="84"/>
  <c r="G17" i="84"/>
  <c r="L23" i="25"/>
  <c r="J14" i="83"/>
  <c r="L22" i="25"/>
  <c r="C253" i="8"/>
  <c r="I15" i="8" s="1"/>
  <c r="C252" i="8"/>
  <c r="H15" i="8"/>
  <c r="O15" i="8"/>
  <c r="F23" i="25"/>
  <c r="G16" i="21"/>
  <c r="N16" i="21"/>
  <c r="G15" i="87"/>
  <c r="H10" i="50"/>
  <c r="L33" i="25"/>
  <c r="H10" i="82"/>
  <c r="F38" i="25"/>
  <c r="G13" i="85"/>
  <c r="T115" i="8"/>
  <c r="I120" i="8"/>
  <c r="O117" i="8"/>
  <c r="Y114" i="8"/>
  <c r="I115" i="8"/>
  <c r="O120" i="8"/>
  <c r="O121" i="8"/>
  <c r="O118" i="8"/>
  <c r="O119" i="8"/>
  <c r="G12" i="82"/>
  <c r="K12" i="28"/>
  <c r="H15" i="47"/>
  <c r="L13" i="25"/>
  <c r="L13" i="85"/>
  <c r="E144" i="19"/>
  <c r="C155" i="19"/>
  <c r="H17" i="19"/>
  <c r="O115" i="8"/>
  <c r="U115" i="8"/>
  <c r="O116" i="8"/>
  <c r="I17" i="19"/>
  <c r="I20" i="19" s="1"/>
  <c r="L13" i="7"/>
  <c r="L12" i="7"/>
  <c r="H7" i="45"/>
  <c r="F15" i="25"/>
  <c r="O16" i="8"/>
  <c r="H20" i="19"/>
  <c r="H11" i="41"/>
  <c r="H13" i="41"/>
  <c r="L17" i="19"/>
  <c r="N17" i="21"/>
  <c r="L24" i="25"/>
  <c r="L26" i="25"/>
  <c r="T11" i="57"/>
  <c r="S20" i="57"/>
  <c r="R113" i="8"/>
  <c r="I113" i="8"/>
  <c r="O112" i="8"/>
  <c r="U112" i="8"/>
  <c r="O113" i="8"/>
  <c r="X113" i="8"/>
  <c r="Y113" i="8"/>
  <c r="T112" i="8"/>
  <c r="V112" i="8"/>
  <c r="G14" i="85"/>
  <c r="H11" i="82"/>
  <c r="F39" i="25"/>
  <c r="F40" i="25"/>
  <c r="T9" i="57"/>
  <c r="L12" i="85"/>
  <c r="C88" i="36"/>
  <c r="H13" i="36"/>
  <c r="H12" i="72"/>
  <c r="I24" i="19"/>
  <c r="I25" i="19"/>
  <c r="I23" i="19"/>
  <c r="D38" i="37"/>
  <c r="C73" i="37"/>
  <c r="F17" i="25"/>
  <c r="E53" i="51"/>
  <c r="L12" i="51"/>
  <c r="T143" i="95"/>
  <c r="T142" i="95"/>
  <c r="Q157" i="95"/>
  <c r="Q194" i="94"/>
  <c r="Q209" i="94"/>
  <c r="D210" i="94"/>
  <c r="C227" i="94"/>
  <c r="N282" i="94"/>
  <c r="D114" i="94"/>
  <c r="C126" i="94"/>
  <c r="N284" i="94"/>
  <c r="C167" i="94"/>
  <c r="G12" i="30"/>
  <c r="H9" i="47"/>
  <c r="L6" i="25"/>
  <c r="H12" i="82"/>
  <c r="K43" i="8"/>
  <c r="F22" i="25"/>
  <c r="F24" i="25"/>
  <c r="T7" i="57"/>
  <c r="U7" i="57"/>
  <c r="U11" i="57"/>
  <c r="C215" i="95"/>
  <c r="V113" i="8"/>
  <c r="W113" i="8"/>
  <c r="T113" i="8"/>
  <c r="U113" i="8"/>
  <c r="Y122" i="8"/>
  <c r="J125" i="8"/>
  <c r="W122" i="8"/>
  <c r="J124" i="8"/>
  <c r="J126" i="8"/>
  <c r="S18" i="57"/>
  <c r="U9" i="57"/>
  <c r="T13" i="57"/>
  <c r="C39" i="71"/>
  <c r="H12" i="71"/>
  <c r="G14" i="51"/>
  <c r="H8" i="50"/>
  <c r="L31" i="25"/>
  <c r="L34" i="25"/>
  <c r="T12" i="57"/>
  <c r="G12" i="95"/>
  <c r="T157" i="95"/>
  <c r="D158" i="95"/>
  <c r="C168" i="95"/>
  <c r="N281" i="94"/>
  <c r="N283" i="94"/>
  <c r="C74" i="8"/>
  <c r="N12" i="95"/>
  <c r="S16" i="57"/>
  <c r="G14" i="95"/>
  <c r="C216" i="95"/>
  <c r="H14" i="95"/>
  <c r="T122" i="8"/>
  <c r="E124" i="8"/>
  <c r="V122" i="8"/>
  <c r="E125" i="8"/>
  <c r="S22" i="57"/>
  <c r="U13" i="57"/>
  <c r="H11" i="50"/>
  <c r="S21" i="57"/>
  <c r="U12" i="57"/>
  <c r="G13" i="95"/>
  <c r="N13" i="95"/>
  <c r="O281" i="94"/>
  <c r="P281" i="94"/>
  <c r="H12" i="8"/>
  <c r="N14" i="95"/>
  <c r="E126" i="8"/>
  <c r="C137" i="8"/>
  <c r="H13" i="8"/>
  <c r="G15" i="95"/>
  <c r="H18" i="47"/>
  <c r="L16" i="25"/>
  <c r="O12" i="8"/>
  <c r="H6" i="45"/>
  <c r="H17" i="8"/>
  <c r="F14" i="25"/>
  <c r="O13" i="8"/>
  <c r="N285" i="94"/>
  <c r="C283" i="94"/>
  <c r="C284" i="94"/>
  <c r="G12" i="94"/>
  <c r="H17" i="47"/>
  <c r="L15" i="25"/>
  <c r="D64" i="92" l="1"/>
  <c r="D65" i="92" s="1"/>
  <c r="C76" i="92" s="1"/>
  <c r="H12" i="92" s="1"/>
  <c r="H14" i="92" s="1"/>
  <c r="H16" i="47" s="1"/>
  <c r="C77" i="92"/>
  <c r="I12" i="92" s="1"/>
  <c r="N12" i="92" s="1"/>
  <c r="G73" i="69"/>
  <c r="G85" i="69"/>
  <c r="G88" i="69"/>
  <c r="G91" i="69"/>
  <c r="G97" i="69"/>
  <c r="G100" i="69"/>
  <c r="G67" i="69"/>
  <c r="F94" i="69"/>
  <c r="G94" i="69" s="1"/>
  <c r="F80" i="69"/>
  <c r="G79" i="69" s="1"/>
  <c r="F82" i="69"/>
  <c r="G82" i="69" s="1"/>
  <c r="F64" i="69"/>
  <c r="F103" i="69"/>
  <c r="G103" i="69" s="1"/>
  <c r="F71" i="69"/>
  <c r="F66" i="69"/>
  <c r="F70" i="69"/>
  <c r="G70" i="69" s="1"/>
  <c r="F63" i="69"/>
  <c r="F62" i="69"/>
  <c r="F61" i="69"/>
  <c r="G123" i="61"/>
  <c r="G120" i="61"/>
  <c r="G117" i="61"/>
  <c r="G108" i="61"/>
  <c r="G105" i="61"/>
  <c r="F130" i="61"/>
  <c r="F131" i="61"/>
  <c r="F129" i="61"/>
  <c r="G129" i="61" s="1"/>
  <c r="F96" i="61"/>
  <c r="G96" i="61" s="1"/>
  <c r="F98" i="61"/>
  <c r="F78" i="61"/>
  <c r="F79" i="61"/>
  <c r="F80" i="61"/>
  <c r="F90" i="61"/>
  <c r="F91" i="61"/>
  <c r="F92" i="61"/>
  <c r="F84" i="61"/>
  <c r="G84" i="61" s="1"/>
  <c r="F85" i="61"/>
  <c r="F86" i="61"/>
  <c r="F76" i="61"/>
  <c r="F81" i="61"/>
  <c r="F89" i="61"/>
  <c r="F72" i="61"/>
  <c r="F82" i="61"/>
  <c r="F83" i="61"/>
  <c r="F75" i="61"/>
  <c r="F88" i="61"/>
  <c r="F94" i="61"/>
  <c r="F93" i="61"/>
  <c r="G93" i="61" s="1"/>
  <c r="F95" i="61"/>
  <c r="H15" i="21"/>
  <c r="H16" i="21"/>
  <c r="C38" i="35"/>
  <c r="H12" i="35" s="1"/>
  <c r="C91" i="7"/>
  <c r="H12" i="7" s="1"/>
  <c r="B186" i="19"/>
  <c r="L186" i="19" s="1"/>
  <c r="C46" i="88"/>
  <c r="G12" i="88" s="1"/>
  <c r="C57" i="24"/>
  <c r="H12" i="24" s="1"/>
  <c r="C168" i="94"/>
  <c r="O283" i="94" s="1"/>
  <c r="P283" i="94" s="1"/>
  <c r="C62" i="84"/>
  <c r="H14" i="85"/>
  <c r="B69" i="72"/>
  <c r="L69" i="72" s="1"/>
  <c r="M70" i="72" s="1"/>
  <c r="B392" i="19"/>
  <c r="L392" i="19" s="1"/>
  <c r="C186" i="8"/>
  <c r="I14" i="8" s="1"/>
  <c r="C75" i="8"/>
  <c r="I12" i="8" s="1"/>
  <c r="C221" i="7"/>
  <c r="H14" i="7" s="1"/>
  <c r="H20" i="21"/>
  <c r="C71" i="28"/>
  <c r="M12" i="28" s="1"/>
  <c r="C131" i="21"/>
  <c r="H18" i="21" s="1"/>
  <c r="C52" i="90"/>
  <c r="H12" i="90" s="1"/>
  <c r="C73" i="86"/>
  <c r="H13" i="86" s="1"/>
  <c r="H14" i="86" s="1"/>
  <c r="C116" i="18"/>
  <c r="H13" i="18" s="1"/>
  <c r="H15" i="95"/>
  <c r="C127" i="36"/>
  <c r="H14" i="36" s="1"/>
  <c r="C228" i="94"/>
  <c r="O282" i="94" s="1"/>
  <c r="P282" i="94" s="1"/>
  <c r="C168" i="36"/>
  <c r="H15" i="36" s="1"/>
  <c r="I26" i="19"/>
  <c r="C397" i="19"/>
  <c r="B184" i="19"/>
  <c r="L184" i="19" s="1"/>
  <c r="C114" i="83"/>
  <c r="C64" i="36"/>
  <c r="H12" i="36" s="1"/>
  <c r="C89" i="19"/>
  <c r="H14" i="19" s="1"/>
  <c r="C156" i="19"/>
  <c r="C46" i="53"/>
  <c r="H12" i="53" s="1"/>
  <c r="C100" i="27"/>
  <c r="H13" i="27" s="1"/>
  <c r="H12" i="94"/>
  <c r="O285" i="94"/>
  <c r="P285" i="94" s="1"/>
  <c r="H15" i="87"/>
  <c r="G12" i="84"/>
  <c r="C102" i="84"/>
  <c r="H15" i="84" s="1"/>
  <c r="H17" i="84" s="1"/>
  <c r="C74" i="37"/>
  <c r="H16" i="36"/>
  <c r="C57" i="83"/>
  <c r="C164" i="83"/>
  <c r="B118" i="51"/>
  <c r="L118" i="51" s="1"/>
  <c r="B83" i="51"/>
  <c r="L83" i="51" s="1"/>
  <c r="C93" i="51" s="1"/>
  <c r="H12" i="51" s="1"/>
  <c r="C65" i="27"/>
  <c r="H12" i="27" s="1"/>
  <c r="C136" i="27"/>
  <c r="H14" i="27" s="1"/>
  <c r="B73" i="72"/>
  <c r="L73" i="72" s="1"/>
  <c r="M74" i="72" s="1"/>
  <c r="B53" i="72"/>
  <c r="L53" i="72" s="1"/>
  <c r="B65" i="72"/>
  <c r="L65" i="72" s="1"/>
  <c r="C101" i="30"/>
  <c r="H12" i="30" s="1"/>
  <c r="C123" i="51"/>
  <c r="H13" i="51" s="1"/>
  <c r="B338" i="19"/>
  <c r="L338" i="19" s="1"/>
  <c r="C344" i="19" s="1"/>
  <c r="B185" i="19"/>
  <c r="L185" i="19" s="1"/>
  <c r="C191" i="19" s="1"/>
  <c r="B57" i="72"/>
  <c r="L57" i="72" s="1"/>
  <c r="M58" i="72" s="1"/>
  <c r="C127" i="94"/>
  <c r="O284" i="94" s="1"/>
  <c r="P284" i="94" s="1"/>
  <c r="C161" i="92"/>
  <c r="I13" i="92" s="1"/>
  <c r="B238" i="19"/>
  <c r="L238" i="19" s="1"/>
  <c r="C244" i="19" s="1"/>
  <c r="B54" i="72"/>
  <c r="L54" i="72" s="1"/>
  <c r="B66" i="72"/>
  <c r="L66" i="72" s="1"/>
  <c r="C72" i="18"/>
  <c r="H12" i="18" s="1"/>
  <c r="H14" i="18" s="1"/>
  <c r="G61" i="18"/>
  <c r="G12" i="18"/>
  <c r="I14" i="92" l="1"/>
  <c r="L14" i="25"/>
  <c r="L19" i="25" s="1"/>
  <c r="T10" i="57" s="1"/>
  <c r="H21" i="47"/>
  <c r="G61" i="69"/>
  <c r="G64" i="69"/>
  <c r="G90" i="61"/>
  <c r="G81" i="61"/>
  <c r="G78" i="61"/>
  <c r="F77" i="61"/>
  <c r="G75" i="61" s="1"/>
  <c r="F74" i="61"/>
  <c r="G72" i="61" s="1"/>
  <c r="F87" i="61"/>
  <c r="G87" i="61" s="1"/>
  <c r="H16" i="7"/>
  <c r="I17" i="8"/>
  <c r="M66" i="72"/>
  <c r="H17" i="27"/>
  <c r="M54" i="72"/>
  <c r="H14" i="51"/>
  <c r="M12" i="18"/>
  <c r="G14" i="18"/>
  <c r="H8" i="45"/>
  <c r="U10" i="57" l="1"/>
  <c r="S19" i="57"/>
  <c r="E107" i="69"/>
  <c r="E109" i="69" s="1"/>
  <c r="C120" i="69" s="1"/>
  <c r="G12" i="69" s="1"/>
  <c r="H8" i="46" s="1"/>
  <c r="F30" i="25" s="1"/>
  <c r="E133" i="61"/>
  <c r="E135" i="61" s="1"/>
  <c r="C146" i="61" s="1"/>
  <c r="G12" i="61" s="1"/>
  <c r="H7" i="46" s="1"/>
  <c r="F16" i="25"/>
  <c r="F18" i="25" s="1"/>
  <c r="H10" i="45"/>
  <c r="C121" i="69" l="1"/>
  <c r="H12" i="69" s="1"/>
  <c r="H9" i="46"/>
  <c r="C147" i="61"/>
  <c r="H12" i="61" s="1"/>
  <c r="F29" i="25"/>
  <c r="F31" i="25" s="1"/>
  <c r="T8" i="57" s="1"/>
  <c r="S17" i="57" s="1"/>
  <c r="T6" i="57"/>
  <c r="N32" i="25" l="1"/>
  <c r="U8" i="57"/>
  <c r="N6" i="57"/>
  <c r="O13" i="57" s="1"/>
  <c r="O15" i="57" s="1"/>
  <c r="S15" i="57"/>
  <c r="U6" i="57"/>
  <c r="G4" i="57" l="1"/>
  <c r="N7" i="57"/>
</calcChain>
</file>

<file path=xl/comments1.xml><?xml version="1.0" encoding="utf-8"?>
<comments xmlns="http://schemas.openxmlformats.org/spreadsheetml/2006/main">
  <authors>
    <author xml:space="preserve">xavier </author>
  </authors>
  <commentList>
    <comment ref="E194"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195"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196"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197"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198"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199"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0"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1"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2"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3"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4"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5"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6"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7"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 ref="E208" authorId="0" shapeId="0">
      <text>
        <r>
          <rPr>
            <b/>
            <sz val="9"/>
            <color indexed="81"/>
            <rFont val="Tahoma"/>
            <family val="2"/>
          </rPr>
          <t xml:space="preserve">Prescriptive approach: 
- </t>
        </r>
        <r>
          <rPr>
            <sz val="9"/>
            <color indexed="81"/>
            <rFont val="Tahoma"/>
            <family val="2"/>
          </rPr>
          <t xml:space="preserve">Light fixture with low luminance: enter the value of luminance between 45 and 90 degrees from nadir or enter 'Exception'
- Obscured light sources: Enter the means used to obscure the light sources
</t>
        </r>
        <r>
          <rPr>
            <b/>
            <sz val="9"/>
            <color indexed="81"/>
            <rFont val="Tahoma"/>
            <family val="2"/>
          </rPr>
          <t xml:space="preserve">
UGR approach: </t>
        </r>
        <r>
          <rPr>
            <sz val="9"/>
            <color indexed="81"/>
            <rFont val="Tahoma"/>
            <family val="2"/>
          </rPr>
          <t>Enter the UGR limit value of the standard followed.</t>
        </r>
      </text>
    </comment>
  </commentList>
</comments>
</file>

<file path=xl/sharedStrings.xml><?xml version="1.0" encoding="utf-8"?>
<sst xmlns="http://schemas.openxmlformats.org/spreadsheetml/2006/main" count="7047" uniqueCount="2861">
  <si>
    <t>Yes</t>
  </si>
  <si>
    <t>LE-4 Heat Island Effect</t>
  </si>
  <si>
    <t>No</t>
  </si>
  <si>
    <t>Health &amp; Comfort</t>
  </si>
  <si>
    <t>H-1 Fresh Air Supply</t>
  </si>
  <si>
    <t>H-2 Ventilation in Wet Areas</t>
  </si>
  <si>
    <t>H-3 Hazardous Materials</t>
  </si>
  <si>
    <t>E-4 Artificial Lighting</t>
  </si>
  <si>
    <t>Results</t>
  </si>
  <si>
    <t>Calculations</t>
  </si>
  <si>
    <t>Light fixture type</t>
  </si>
  <si>
    <t>Quantity</t>
  </si>
  <si>
    <t>Individual Power (W)</t>
  </si>
  <si>
    <t>Additional power (W)</t>
  </si>
  <si>
    <t>Total power (W)</t>
  </si>
  <si>
    <t>Details</t>
  </si>
  <si>
    <t>Water</t>
  </si>
  <si>
    <t>W-1 Water Efficient Fixtures</t>
  </si>
  <si>
    <t>Project information</t>
  </si>
  <si>
    <t>Points</t>
  </si>
  <si>
    <t>Energy</t>
  </si>
  <si>
    <t>M-1</t>
  </si>
  <si>
    <t>E-1</t>
  </si>
  <si>
    <t>M-2</t>
  </si>
  <si>
    <t>E-2</t>
  </si>
  <si>
    <t>E-3</t>
  </si>
  <si>
    <t>E-4</t>
  </si>
  <si>
    <t>Artificial Lighting</t>
  </si>
  <si>
    <t>Energy Efficient Appliances</t>
  </si>
  <si>
    <t>Total</t>
  </si>
  <si>
    <t>H-1</t>
  </si>
  <si>
    <t>Fresh Air Supply</t>
  </si>
  <si>
    <t>H-2</t>
  </si>
  <si>
    <t>W-1</t>
  </si>
  <si>
    <t>Water Efficient Fixtures</t>
  </si>
  <si>
    <t>H-3</t>
  </si>
  <si>
    <t>W-2</t>
  </si>
  <si>
    <t>H-4</t>
  </si>
  <si>
    <t>Daylighting</t>
  </si>
  <si>
    <t>E-6 Energy Efficient Appliances</t>
  </si>
  <si>
    <t>Refrigerants</t>
  </si>
  <si>
    <t>Inn-1</t>
  </si>
  <si>
    <t>Exceptional performance enhancement</t>
  </si>
  <si>
    <t>Exceed significantly the credit requirements of LOTUS credits</t>
  </si>
  <si>
    <t>Inn-2</t>
  </si>
  <si>
    <t>Innovative Techniques / Initiatives</t>
  </si>
  <si>
    <t>Number of floors</t>
  </si>
  <si>
    <t>COP required by VBEEC</t>
  </si>
  <si>
    <t>Types</t>
  </si>
  <si>
    <t>Type</t>
  </si>
  <si>
    <t xml:space="preserve">Unitary air-conditioner </t>
  </si>
  <si>
    <t xml:space="preserve">Split air-conditioner </t>
  </si>
  <si>
    <t>Cooling output</t>
  </si>
  <si>
    <t>Brand</t>
  </si>
  <si>
    <t>Air-conditioning unit model</t>
  </si>
  <si>
    <t>Rated Electric Power Input (kW)</t>
  </si>
  <si>
    <t>air-cooled air-conditioner</t>
  </si>
  <si>
    <r>
      <t>³</t>
    </r>
    <r>
      <rPr>
        <sz val="10"/>
        <color theme="1"/>
        <rFont val="Arial"/>
        <family val="2"/>
      </rPr>
      <t xml:space="preserve"> 19 kW to &lt; 40 kW</t>
    </r>
  </si>
  <si>
    <r>
      <t>³</t>
    </r>
    <r>
      <rPr>
        <sz val="10"/>
        <color theme="1"/>
        <rFont val="Arial"/>
        <family val="2"/>
      </rPr>
      <t xml:space="preserve"> 40 kW to &lt; 70 kW</t>
    </r>
  </si>
  <si>
    <t>/</t>
  </si>
  <si>
    <t>&lt; 19 kW</t>
  </si>
  <si>
    <r>
      <t>&gt;=</t>
    </r>
    <r>
      <rPr>
        <sz val="10"/>
        <color theme="1"/>
        <rFont val="Arial"/>
        <family val="2"/>
      </rPr>
      <t xml:space="preserve"> 70 kW</t>
    </r>
  </si>
  <si>
    <t>Select</t>
  </si>
  <si>
    <t xml:space="preserve">E-7 Energy Monitors </t>
  </si>
  <si>
    <t xml:space="preserve">Minimise the use of hazardous materials for paints and coatings  </t>
  </si>
  <si>
    <t>Minimise the use of hazardous materials for adhesives and sealants</t>
  </si>
  <si>
    <t>Minimise the use of hazardous materials for flooring systems</t>
  </si>
  <si>
    <t>Minimise the use of hazardous materials for fitted furniture</t>
  </si>
  <si>
    <t>H-4 Daylighting</t>
  </si>
  <si>
    <t>CM-3 Operational Management</t>
  </si>
  <si>
    <t>CM-2 Construction Management</t>
  </si>
  <si>
    <t>CM-1 Design Stage</t>
  </si>
  <si>
    <r>
      <rPr>
        <b/>
        <sz val="11"/>
        <rFont val="Arial"/>
        <family val="2"/>
      </rPr>
      <t>Strategy B: Demolition and construction waste</t>
    </r>
    <r>
      <rPr>
        <sz val="11"/>
        <rFont val="Arial"/>
        <family val="2"/>
      </rPr>
      <t xml:space="preserve">
Implement strategies to minimise demolition and construction waste </t>
    </r>
  </si>
  <si>
    <r>
      <rPr>
        <b/>
        <sz val="11"/>
        <rFont val="Arial"/>
        <family val="2"/>
      </rPr>
      <t>Strategy C: Construction noise</t>
    </r>
    <r>
      <rPr>
        <sz val="11"/>
        <rFont val="Arial"/>
        <family val="2"/>
      </rPr>
      <t xml:space="preserve">
Implement adequate mitigation measures to limit construction noise</t>
    </r>
  </si>
  <si>
    <t>Innovation</t>
  </si>
  <si>
    <t>Points available</t>
  </si>
  <si>
    <t>Drinking Water</t>
  </si>
  <si>
    <r>
      <rPr>
        <b/>
        <sz val="11"/>
        <rFont val="Arial"/>
        <family val="2"/>
      </rPr>
      <t>Strategy D: Neighbourhood Impact Plan</t>
    </r>
    <r>
      <rPr>
        <sz val="11"/>
        <rFont val="Arial"/>
        <family val="2"/>
      </rPr>
      <t xml:space="preserve">
Implement adequate measures to reduce construction impacts on neighbouring properties</t>
    </r>
  </si>
  <si>
    <t>Appliance type</t>
  </si>
  <si>
    <t>Rated Power (W)</t>
  </si>
  <si>
    <t>Energy efficiency label?</t>
  </si>
  <si>
    <t>Flushrate
[Lpf]</t>
  </si>
  <si>
    <t>Design Water Use per person per day (L)</t>
  </si>
  <si>
    <t>Baseline water use per person per day (L)</t>
  </si>
  <si>
    <t>Flush Type</t>
  </si>
  <si>
    <t>Low Flush</t>
  </si>
  <si>
    <t>Full Flush</t>
  </si>
  <si>
    <r>
      <rPr>
        <sz val="12"/>
        <color indexed="9"/>
        <rFont val="Arial"/>
        <family val="2"/>
      </rPr>
      <t>Water Closet</t>
    </r>
    <r>
      <rPr>
        <sz val="11"/>
        <color indexed="9"/>
        <rFont val="Arial"/>
        <family val="2"/>
      </rPr>
      <t xml:space="preserve">                    </t>
    </r>
  </si>
  <si>
    <t>Flowrate
[L/s]</t>
  </si>
  <si>
    <t>Compliant?</t>
  </si>
  <si>
    <r>
      <rPr>
        <sz val="12"/>
        <color indexed="9"/>
        <rFont val="Arial"/>
        <family val="2"/>
      </rPr>
      <t>Shower heads</t>
    </r>
    <r>
      <rPr>
        <sz val="11"/>
        <color indexed="9"/>
        <rFont val="Arial"/>
        <family val="2"/>
      </rPr>
      <t xml:space="preserve">                                     </t>
    </r>
    <r>
      <rPr>
        <sz val="10"/>
        <color indexed="9"/>
        <rFont val="Arial"/>
        <family val="2"/>
      </rPr>
      <t>Fixture Name</t>
    </r>
  </si>
  <si>
    <t>Fixture Name</t>
  </si>
  <si>
    <r>
      <rPr>
        <sz val="12"/>
        <color indexed="9"/>
        <rFont val="Arial"/>
        <family val="2"/>
      </rPr>
      <t>Kitchen Taps</t>
    </r>
    <r>
      <rPr>
        <sz val="11"/>
        <color indexed="9"/>
        <rFont val="Arial"/>
        <family val="2"/>
      </rPr>
      <t xml:space="preserve">                                     </t>
    </r>
    <r>
      <rPr>
        <sz val="10"/>
        <color indexed="9"/>
        <rFont val="Arial"/>
        <family val="2"/>
      </rPr>
      <t>Fixture Name</t>
    </r>
  </si>
  <si>
    <r>
      <rPr>
        <sz val="12"/>
        <color indexed="9"/>
        <rFont val="Arial"/>
        <family val="2"/>
      </rPr>
      <t xml:space="preserve">Bathroom Taps
</t>
    </r>
    <r>
      <rPr>
        <sz val="10"/>
        <color indexed="9"/>
        <rFont val="Arial"/>
        <family val="2"/>
      </rPr>
      <t>Fixture Name</t>
    </r>
  </si>
  <si>
    <t>COP of the unit</t>
  </si>
  <si>
    <t>Credit Requirements</t>
  </si>
  <si>
    <t>Criteria</t>
  </si>
  <si>
    <t>Submissions</t>
  </si>
  <si>
    <t>Submit all the documentation listed below:</t>
  </si>
  <si>
    <t>Location</t>
  </si>
  <si>
    <t>Introduction</t>
  </si>
  <si>
    <t>Materials</t>
  </si>
  <si>
    <t>Possible points</t>
  </si>
  <si>
    <t>Total Points</t>
  </si>
  <si>
    <t>Type of paint / coating</t>
  </si>
  <si>
    <t>Product Name</t>
  </si>
  <si>
    <t>VOC content limit
[g/L]</t>
  </si>
  <si>
    <t>All paints and coatings compliant?</t>
  </si>
  <si>
    <t>Type of adhesive / sealant</t>
  </si>
  <si>
    <t>All adhesives and sealants compliant?</t>
  </si>
  <si>
    <t>Options and strategies</t>
  </si>
  <si>
    <r>
      <rPr>
        <b/>
        <sz val="11"/>
        <rFont val="Arial"/>
        <family val="2"/>
      </rPr>
      <t>Strategy B: U-values of roofs</t>
    </r>
    <r>
      <rPr>
        <sz val="11"/>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</si>
  <si>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1"/>
        <rFont val="Arial"/>
        <family val="2"/>
      </rPr>
      <t>Strategy A: U-values of walls</t>
    </r>
    <r>
      <rPr>
        <sz val="11"/>
        <rFont val="Arial"/>
        <family val="2"/>
      </rPr>
      <t xml:space="preserve">
All the external walls are made with any or any combination of the following: 
AAC blocks, a layer of insulation material with a thickness of at least 40mm, lightweight hollow blocks or equivalent.</t>
    </r>
  </si>
  <si>
    <t>Light fixture model</t>
  </si>
  <si>
    <t>Select the option pursued:</t>
  </si>
  <si>
    <t>Number of occupants</t>
  </si>
  <si>
    <t xml:space="preserve">W-3 Drinking Water </t>
  </si>
  <si>
    <t>Approach &amp; Implementation</t>
  </si>
  <si>
    <t>Project Name</t>
  </si>
  <si>
    <t>TOTAL</t>
  </si>
  <si>
    <t>Inn-1 Exceptional Performance Enhancement</t>
  </si>
  <si>
    <t>Inn-2 Innovative Techniques/Initiatives</t>
  </si>
  <si>
    <t>• Energy Star</t>
  </si>
  <si>
    <t>• VNEEP energy label with 4 or 5 stars</t>
  </si>
  <si>
    <t>• European Union Energy Label with class A label or better</t>
  </si>
  <si>
    <t>• EMSD (Hong Kong) Energy Efficiency Labelling Scheme with Grade 1 or Grade 2 labels</t>
  </si>
  <si>
    <t>• EMSD’s Voluntary Energy Efficiency Labelling Scheme with Recognition type label</t>
  </si>
  <si>
    <t>• Australian Energy Rating Label Program with 3 stars or higher for Appliances that carry an energy label</t>
  </si>
  <si>
    <t>• Australian Energy Rating Label Program MEPS for Products registered for MEPS.</t>
  </si>
  <si>
    <t>Type of product</t>
  </si>
  <si>
    <t>Resources</t>
  </si>
  <si>
    <t>Number of fixtures</t>
  </si>
  <si>
    <t>Daily Design Water Use (L)</t>
  </si>
  <si>
    <t>Daily Baseline Water Use (L)</t>
  </si>
  <si>
    <t>Credit requirements</t>
  </si>
  <si>
    <t>Equipment Type</t>
  </si>
  <si>
    <t>Credit</t>
  </si>
  <si>
    <t>Available points</t>
  </si>
  <si>
    <t>Best Practice Credits</t>
  </si>
  <si>
    <t xml:space="preserve">• heavy metals  </t>
  </si>
  <si>
    <t xml:space="preserve">• chlorine </t>
  </si>
  <si>
    <t>Filter type</t>
  </si>
  <si>
    <t>• bacteria</t>
  </si>
  <si>
    <t xml:space="preserve">• dust, particles, and rust  </t>
  </si>
  <si>
    <t>1. General</t>
  </si>
  <si>
    <t>uncertified</t>
  </si>
  <si>
    <t>certified</t>
  </si>
  <si>
    <t>silver</t>
  </si>
  <si>
    <t>gold</t>
  </si>
  <si>
    <t>platinum</t>
  </si>
  <si>
    <t>H&amp;C</t>
  </si>
  <si>
    <t>Ready to submit?</t>
  </si>
  <si>
    <t xml:space="preserve">Points </t>
  </si>
  <si>
    <t>Appliance name</t>
  </si>
  <si>
    <r>
      <t>³</t>
    </r>
    <r>
      <rPr>
        <sz val="10"/>
        <color theme="1"/>
        <rFont val="Arial"/>
        <family val="2"/>
      </rPr>
      <t xml:space="preserve"> 7 kW and &lt; 14 kW</t>
    </r>
  </si>
  <si>
    <r>
      <t>³</t>
    </r>
    <r>
      <rPr>
        <sz val="10"/>
        <color theme="1"/>
        <rFont val="Arial"/>
        <family val="2"/>
      </rPr>
      <t xml:space="preserve"> 14 kW and &lt; 19 kW</t>
    </r>
  </si>
  <si>
    <t>&lt;4.5 kW</t>
  </si>
  <si>
    <t>&gt;= 19 kW to &lt; 40 kW</t>
  </si>
  <si>
    <r>
      <t xml:space="preserve">&gt;= </t>
    </r>
    <r>
      <rPr>
        <sz val="10"/>
        <color theme="1"/>
        <rFont val="Arial"/>
        <family val="2"/>
      </rPr>
      <t xml:space="preserve"> 40 kW to &lt; 70 kW</t>
    </r>
  </si>
  <si>
    <t>Air conditioner water and evaporatively cooled</t>
  </si>
  <si>
    <t>Cooling capacity
(kW)</t>
  </si>
  <si>
    <t>Click on the links on 
the right to navigate to 
other Energy credits</t>
  </si>
  <si>
    <t>certification@vgbc.org.vn</t>
  </si>
  <si>
    <t>Mechanically ventilated spaces are spaces where a mechanical ventilation system directly supplies fresh air into the space.</t>
  </si>
  <si>
    <t>Both the above requirements for HVAC systems and for natural ventilation must be met.</t>
  </si>
  <si>
    <t>Ventilation Type</t>
  </si>
  <si>
    <t>List and area of openings to the outdoors</t>
  </si>
  <si>
    <t>Strategy A: Paints and coatings</t>
  </si>
  <si>
    <t>Strategy B: Adhesives and sealants</t>
  </si>
  <si>
    <t>Strategy C: Construction noise</t>
  </si>
  <si>
    <t>List of noise sensitive locations</t>
  </si>
  <si>
    <t>List of high impact construction practices</t>
  </si>
  <si>
    <t>Compliant Construction Noise Mitigation Strategy ?</t>
  </si>
  <si>
    <t>This manual should be a folder or a jacket including the documents with necessary information for the operation and maintenance of the building</t>
  </si>
  <si>
    <t>Compliant waste management?</t>
  </si>
  <si>
    <t>Certification level</t>
  </si>
  <si>
    <t>Type of waste</t>
  </si>
  <si>
    <t>Disposal location</t>
  </si>
  <si>
    <t>Disposal option</t>
  </si>
  <si>
    <r>
      <rPr>
        <sz val="11"/>
        <rFont val="Symbol"/>
        <family val="1"/>
        <charset val="2"/>
      </rPr>
      <t>®</t>
    </r>
    <r>
      <rPr>
        <sz val="11"/>
        <rFont val="Calibri"/>
        <family val="2"/>
      </rPr>
      <t xml:space="preserve"> </t>
    </r>
    <r>
      <rPr>
        <sz val="11"/>
        <rFont val="Calibri"/>
        <family val="2"/>
        <scheme val="minor"/>
      </rPr>
      <t>By clicking on these cells, users can read additional information to help completing the cells</t>
    </r>
  </si>
  <si>
    <t>At least 3 types of waste should be considered in the table below.</t>
  </si>
  <si>
    <t>M-1 Building Structure</t>
  </si>
  <si>
    <r>
      <t>Area of the room (m</t>
    </r>
    <r>
      <rPr>
        <vertAlign val="superscript"/>
        <sz val="10"/>
        <color theme="0"/>
        <rFont val="Arial"/>
        <family val="2"/>
      </rPr>
      <t>2</t>
    </r>
    <r>
      <rPr>
        <sz val="10"/>
        <color theme="0"/>
        <rFont val="Arial"/>
        <family val="2"/>
      </rPr>
      <t>)</t>
    </r>
  </si>
  <si>
    <t>Maintenance factor</t>
  </si>
  <si>
    <t>Reflectance of room surfaces</t>
  </si>
  <si>
    <t>Breadth</t>
  </si>
  <si>
    <t>Height</t>
  </si>
  <si>
    <t>Ceiling</t>
  </si>
  <si>
    <t>Wall</t>
  </si>
  <si>
    <t>Floor</t>
  </si>
  <si>
    <r>
      <t>Room dimensions (m</t>
    </r>
    <r>
      <rPr>
        <sz val="10"/>
        <color theme="0"/>
        <rFont val="Arial"/>
        <family val="2"/>
      </rPr>
      <t>)</t>
    </r>
  </si>
  <si>
    <r>
      <t>Glazed area of windows (m</t>
    </r>
    <r>
      <rPr>
        <vertAlign val="superscript"/>
        <sz val="10"/>
        <color theme="0"/>
        <rFont val="Arial"/>
        <family val="2"/>
      </rPr>
      <t>2</t>
    </r>
    <r>
      <rPr>
        <sz val="10"/>
        <color theme="0"/>
        <rFont val="Arial"/>
        <family val="2"/>
      </rPr>
      <t>)</t>
    </r>
  </si>
  <si>
    <t>Angle of visible sky (degrees)</t>
  </si>
  <si>
    <t>Internal surface area of the space [m2]</t>
  </si>
  <si>
    <t>Average reflectance</t>
  </si>
  <si>
    <t>Length</t>
  </si>
  <si>
    <t>Compliant Area Percentage [%]</t>
  </si>
  <si>
    <t>VOC content of the product [g/L]</t>
  </si>
  <si>
    <t>Please click on the images below to navigate to the different categories.</t>
  </si>
  <si>
    <t>Slope</t>
  </si>
  <si>
    <t>Window Condition</t>
  </si>
  <si>
    <t xml:space="preserve">Clean </t>
  </si>
  <si>
    <t>Dirty</t>
  </si>
  <si>
    <t>Non-Industrial Area</t>
  </si>
  <si>
    <t>Vertical</t>
  </si>
  <si>
    <t>Sloping</t>
  </si>
  <si>
    <t>Horizontal</t>
  </si>
  <si>
    <t>Dirty Industrial Area</t>
  </si>
  <si>
    <t>Angle of visible sky from the mid-point of the window</t>
  </si>
  <si>
    <t>Room Surface</t>
  </si>
  <si>
    <t>Recommended Reflectance</t>
  </si>
  <si>
    <t>Walls</t>
  </si>
  <si>
    <r>
      <rPr>
        <b/>
        <sz val="10"/>
        <rFont val="Arial"/>
        <family val="2"/>
      </rPr>
      <t>Recommended average reflectance values</t>
    </r>
    <r>
      <rPr>
        <sz val="10"/>
        <rFont val="Arial"/>
        <family val="2"/>
      </rPr>
      <t xml:space="preserve"> </t>
    </r>
  </si>
  <si>
    <t>Source: CIBSE Guide F Energy Efficiency in Buildings</t>
  </si>
  <si>
    <r>
      <rPr>
        <b/>
        <sz val="10"/>
        <rFont val="Arial"/>
        <family val="2"/>
      </rPr>
      <t>Maintenance factors</t>
    </r>
    <r>
      <rPr>
        <sz val="10"/>
        <rFont val="Arial"/>
        <family val="2"/>
      </rPr>
      <t xml:space="preserve"> </t>
    </r>
  </si>
  <si>
    <t>Source: Introduction to Architectural Science. Steven V. Szokolay</t>
  </si>
  <si>
    <t>Feedback Form</t>
  </si>
  <si>
    <t>Contact Information</t>
  </si>
  <si>
    <t>Full Name:</t>
  </si>
  <si>
    <t xml:space="preserve">Organisation/Company:
</t>
  </si>
  <si>
    <t>Email address:</t>
  </si>
  <si>
    <t>Feedback</t>
  </si>
  <si>
    <t>1. Questions</t>
  </si>
  <si>
    <t>2. General feedback</t>
  </si>
  <si>
    <t xml:space="preserve">E-3 </t>
  </si>
  <si>
    <t>Title</t>
  </si>
  <si>
    <t xml:space="preserve">M-1 </t>
  </si>
  <si>
    <t>Waste Management</t>
  </si>
  <si>
    <t>Exceptional Performance Enhancement</t>
  </si>
  <si>
    <t>Innovative techniques/initiative</t>
  </si>
  <si>
    <t>Comments may be related to the actual content of credits or related to the use of the tool (bugs, mistakes, practicality, etc.)</t>
  </si>
  <si>
    <t xml:space="preserve">Drinking Water </t>
  </si>
  <si>
    <t>Please provide VGBC with any comment you may have.</t>
  </si>
  <si>
    <t>Instructions</t>
  </si>
  <si>
    <t>Graphical Results</t>
  </si>
  <si>
    <t>Project Information</t>
  </si>
  <si>
    <t>Categories</t>
  </si>
  <si>
    <t>Comments</t>
  </si>
  <si>
    <t>Management</t>
  </si>
  <si>
    <t>Water Use Through Fixtures Reduction (%)</t>
  </si>
  <si>
    <t>Click on the link on the 
right to navigate to the 
other Innovation credit</t>
  </si>
  <si>
    <t xml:space="preserve">Innovation credits are considered on a case by case basis. </t>
  </si>
  <si>
    <t>LOTUS credit</t>
  </si>
  <si>
    <t xml:space="preserve">Exceptional Performance Enhancement </t>
  </si>
  <si>
    <t xml:space="preserve">There are two different cases where Exceptional Performance Enhancement points can be awarded: </t>
  </si>
  <si>
    <t xml:space="preserve">
Case 1: In a credit with two or more performance increments, the building performance exceeds the maximum credit requirement by an additional increment.
</t>
  </si>
  <si>
    <t xml:space="preserve">Case 2: In a credit with only one performance threshold, the building performance significantly exceeds the credit requirement. </t>
  </si>
  <si>
    <t>No documentation needs to be submitted here</t>
  </si>
  <si>
    <t>H-5</t>
  </si>
  <si>
    <t>Acoustic Comfort</t>
  </si>
  <si>
    <t>Credits Requirements</t>
  </si>
  <si>
    <t>Glazing Type</t>
  </si>
  <si>
    <t>Glazing Transmission</t>
  </si>
  <si>
    <t>Single-Glazed</t>
  </si>
  <si>
    <t>Clear</t>
  </si>
  <si>
    <t>Tinted</t>
  </si>
  <si>
    <t>Reflective</t>
  </si>
  <si>
    <t>Double-Glazed</t>
  </si>
  <si>
    <t>High-solar-gain low-E</t>
  </si>
  <si>
    <t>Low-solar-gain low-E</t>
  </si>
  <si>
    <t>Visible light transmission</t>
  </si>
  <si>
    <t>Source: Efficient Windows Collaborative</t>
  </si>
  <si>
    <t>Evidence of low VOC products installed such as photographs, invoices, receipts, etc.</t>
  </si>
  <si>
    <t>• Toilet partitions; shower partitions including shower screens</t>
  </si>
  <si>
    <t>This credit takes into account all the following materials:</t>
  </si>
  <si>
    <t xml:space="preserve">• Wall coverings, such as ceramic tiles. </t>
  </si>
  <si>
    <t xml:space="preserve">Are excluded from the credit: </t>
  </si>
  <si>
    <t xml:space="preserve">• wall coverings such as paint, paper, vinyl and textile </t>
  </si>
  <si>
    <t>• Skirting</t>
  </si>
  <si>
    <t>• Internal stairs</t>
  </si>
  <si>
    <t>• insulation</t>
  </si>
  <si>
    <t>• Walls and partitions (non-load bearing space dividers)</t>
  </si>
  <si>
    <r>
      <rPr>
        <b/>
        <sz val="11"/>
        <rFont val="Calibri"/>
        <family val="2"/>
        <scheme val="minor"/>
      </rPr>
      <t xml:space="preserve">• </t>
    </r>
    <r>
      <rPr>
        <b/>
        <sz val="11"/>
        <color rgb="FF5F4970"/>
        <rFont val="Calibri"/>
        <family val="2"/>
        <scheme val="minor"/>
      </rPr>
      <t>Materials (M)</t>
    </r>
    <r>
      <rPr>
        <b/>
        <sz val="11"/>
        <rFont val="Calibri"/>
        <family val="2"/>
        <scheme val="minor"/>
      </rPr>
      <t xml:space="preserve"> </t>
    </r>
    <r>
      <rPr>
        <sz val="11"/>
        <rFont val="Calibri"/>
        <family val="2"/>
        <scheme val="minor"/>
      </rPr>
      <t>- To encourage use of sustainable materials and reduce use of high-embodied-energy materials, for example trough the use of re-used and/or recycled materials.</t>
    </r>
  </si>
  <si>
    <r>
      <t xml:space="preserve">Some credits can be satisfied through different </t>
    </r>
    <r>
      <rPr>
        <b/>
        <sz val="11"/>
        <color theme="1"/>
        <rFont val="Calibri"/>
        <family val="2"/>
        <scheme val="minor"/>
      </rPr>
      <t>options</t>
    </r>
    <r>
      <rPr>
        <sz val="11"/>
        <color theme="1"/>
        <rFont val="Calibri"/>
        <family val="2"/>
        <scheme val="minor"/>
      </rPr>
      <t xml:space="preserve"> or </t>
    </r>
    <r>
      <rPr>
        <b/>
        <sz val="11"/>
        <color theme="1"/>
        <rFont val="Calibri"/>
        <family val="2"/>
        <scheme val="minor"/>
      </rPr>
      <t>strategies</t>
    </r>
    <r>
      <rPr>
        <sz val="11"/>
        <color theme="1"/>
        <rFont val="Calibri"/>
        <family val="2"/>
        <scheme val="minor"/>
      </rPr>
      <t xml:space="preserve">. A project can select only one </t>
    </r>
    <r>
      <rPr>
        <b/>
        <sz val="11"/>
        <color theme="1"/>
        <rFont val="Calibri"/>
        <family val="2"/>
        <scheme val="minor"/>
      </rPr>
      <t>option</t>
    </r>
    <r>
      <rPr>
        <sz val="11"/>
        <color theme="1"/>
        <rFont val="Calibri"/>
        <family val="2"/>
        <scheme val="minor"/>
      </rPr>
      <t xml:space="preserve"> with its assigned points. A project can implement any or all </t>
    </r>
    <r>
      <rPr>
        <b/>
        <sz val="11"/>
        <color theme="1"/>
        <rFont val="Calibri"/>
        <family val="2"/>
        <scheme val="minor"/>
      </rPr>
      <t>strategies</t>
    </r>
    <r>
      <rPr>
        <sz val="11"/>
        <color theme="1"/>
        <rFont val="Calibri"/>
        <family val="2"/>
        <scheme val="minor"/>
      </rPr>
      <t xml:space="preserve"> and accumulate points for the credit (while being restricted by the maximum number of points).</t>
    </r>
  </si>
  <si>
    <t>Opening with adjoining room?</t>
  </si>
  <si>
    <t>Mixed-mode ventilated spaces are spaces where both mechanical and natural ventilation processes are used in combination.</t>
  </si>
  <si>
    <t>If yes, which one(s)?</t>
  </si>
  <si>
    <t>Naturally ventilated spaces:</t>
  </si>
  <si>
    <t>Admin</t>
  </si>
  <si>
    <t>Submission content</t>
  </si>
  <si>
    <t>Submission delivery</t>
  </si>
  <si>
    <t>Please confirm</t>
  </si>
  <si>
    <t>Submission presentation</t>
  </si>
  <si>
    <t>Respect the following requirements:</t>
  </si>
  <si>
    <t>All documents are legible (drawings, plans, photographs when showing written information, etc.)</t>
  </si>
  <si>
    <t>Create a zip file containing all the credit folders and other documentation.</t>
  </si>
  <si>
    <t>Compliant Drinking water filtration system ?</t>
  </si>
  <si>
    <t>Dishwasher</t>
  </si>
  <si>
    <t>General Instructions on the User Tool</t>
  </si>
  <si>
    <r>
      <rPr>
        <sz val="11"/>
        <rFont val="Symbol"/>
        <family val="1"/>
        <charset val="2"/>
      </rPr>
      <t>®</t>
    </r>
    <r>
      <rPr>
        <sz val="11"/>
        <rFont val="Calibri"/>
        <family val="2"/>
        <scheme val="minor"/>
      </rPr>
      <t xml:space="preserve"> Only light red-coloured cells need to be filled (this is valid for the whole tool)</t>
    </r>
  </si>
  <si>
    <t>Refurbishment projects, individual villas built in developments such as resorts and single dwelling-units in apartment buildings are also eligible for LOTUS Homes.</t>
  </si>
  <si>
    <t>2. How to use this Tool?</t>
  </si>
  <si>
    <t>The first certification level (LOTUS Certified) has been benchmarked at 40% of the total amount of points excluding bonus points. This value reflects a good first level of performance and the minimum required for certification. The following thresholds correspond to 55% (LOTUS Silver), 65% (LOTUS Gold) and 75% (LOTUS Platinum).</t>
  </si>
  <si>
    <t>Based on 80 points available, certification levels are as shown in the figure below:</t>
  </si>
  <si>
    <t>Plans showing the vent column or the rooftop turbine vent with the dimensions</t>
  </si>
  <si>
    <r>
      <t>³</t>
    </r>
    <r>
      <rPr>
        <sz val="10"/>
        <color theme="1"/>
        <rFont val="Arial"/>
        <family val="2"/>
      </rPr>
      <t xml:space="preserve"> 4.5 kW and &lt; 7 kW</t>
    </r>
  </si>
  <si>
    <t>Compliant CO2 monitoring?</t>
  </si>
  <si>
    <t>Worksheets</t>
  </si>
  <si>
    <t>General Comments</t>
  </si>
  <si>
    <t>Energy Monitoring</t>
  </si>
  <si>
    <t>W-PR-1</t>
  </si>
  <si>
    <t>Location &amp; Transportation</t>
  </si>
  <si>
    <t>E-2 Artificial Lighting</t>
  </si>
  <si>
    <t>E-3 Energy Efficient Appliances</t>
  </si>
  <si>
    <t>E-4 Energy Monitoring</t>
  </si>
  <si>
    <t>WP-1</t>
  </si>
  <si>
    <t>Waste &amp; Pollution</t>
  </si>
  <si>
    <t>WP-PR-1</t>
  </si>
  <si>
    <t>Demolition and Construction Waste</t>
  </si>
  <si>
    <t>WP-2</t>
  </si>
  <si>
    <t>WP-3</t>
  </si>
  <si>
    <t xml:space="preserve">Sustainable Materials </t>
  </si>
  <si>
    <t>Sustainable Furniture Products</t>
  </si>
  <si>
    <t>H-6</t>
  </si>
  <si>
    <t>H-7</t>
  </si>
  <si>
    <t>H-8</t>
  </si>
  <si>
    <t>H-9</t>
  </si>
  <si>
    <t>H-10</t>
  </si>
  <si>
    <t>H-11</t>
  </si>
  <si>
    <t>H-12</t>
  </si>
  <si>
    <t xml:space="preserve">Green Transportation </t>
  </si>
  <si>
    <t>Long-term lease</t>
  </si>
  <si>
    <t>LOTUS AP</t>
  </si>
  <si>
    <t>Man-1</t>
  </si>
  <si>
    <t>Man-2</t>
  </si>
  <si>
    <t>Man-3</t>
  </si>
  <si>
    <t>Man-4</t>
  </si>
  <si>
    <t>Construction Stage</t>
  </si>
  <si>
    <t>Commissioning</t>
  </si>
  <si>
    <t>Maintenance</t>
  </si>
  <si>
    <t>Man-5</t>
  </si>
  <si>
    <t>Green Awareness and Behaviour</t>
  </si>
  <si>
    <t>Indoor Smoking</t>
  </si>
  <si>
    <t>Pre-occupancy removal of pollutants</t>
  </si>
  <si>
    <t>External Views</t>
  </si>
  <si>
    <t>Lighting comfort</t>
  </si>
  <si>
    <t>Thermal comfort</t>
  </si>
  <si>
    <t>Interior Plants</t>
  </si>
  <si>
    <t>Green cleaning</t>
  </si>
  <si>
    <t>Post-occupancy comfort</t>
  </si>
  <si>
    <t>H-PR-1</t>
  </si>
  <si>
    <t xml:space="preserve">Facilities and amenities </t>
  </si>
  <si>
    <t>Man-1 LOTUS AP</t>
  </si>
  <si>
    <t>WP-1 Refrigerants</t>
  </si>
  <si>
    <t>LT-PR-1</t>
  </si>
  <si>
    <t>LT-1</t>
  </si>
  <si>
    <t>LT-2</t>
  </si>
  <si>
    <t>LT-3</t>
  </si>
  <si>
    <t>LT-4</t>
  </si>
  <si>
    <t>W-PR-1 Water Efficient Fixtures</t>
  </si>
  <si>
    <t xml:space="preserve">W-2 Drinking Water </t>
  </si>
  <si>
    <t>W-2 Drinking Water</t>
  </si>
  <si>
    <t>Click on the links on 
the right to navigate to 
other W&amp;P credits</t>
  </si>
  <si>
    <t>• submit all the evidence required by LOTUS Interiors</t>
  </si>
  <si>
    <t>2. How to use this tool?</t>
  </si>
  <si>
    <t xml:space="preserve">Prerequisite </t>
  </si>
  <si>
    <t xml:space="preserve">LT-PR-1 &amp; LT-3 Green Transportation </t>
  </si>
  <si>
    <t>Click on the links on 
the right to navigate to 
other LT credits</t>
  </si>
  <si>
    <t>Credit Criteria</t>
  </si>
  <si>
    <t>Prerequisite Criteria</t>
  </si>
  <si>
    <t>Achieved?</t>
  </si>
  <si>
    <r>
      <rPr>
        <b/>
        <sz val="10"/>
        <rFont val="Arial"/>
        <family val="2"/>
      </rPr>
      <t>Strategy E: Green transportation program</t>
    </r>
    <r>
      <rPr>
        <sz val="10"/>
        <rFont val="Arial"/>
        <family val="2"/>
      </rPr>
      <t xml:space="preserve">
Set up a green transportation program</t>
    </r>
  </si>
  <si>
    <r>
      <rPr>
        <b/>
        <sz val="10"/>
        <rFont val="Arial"/>
        <family val="2"/>
      </rPr>
      <t>Strategy C: Private buses</t>
    </r>
    <r>
      <rPr>
        <sz val="10"/>
        <rFont val="Arial"/>
        <family val="2"/>
      </rPr>
      <t xml:space="preserve">
Provide private buses that are able to transport 10% of total project occupants </t>
    </r>
  </si>
  <si>
    <r>
      <rPr>
        <b/>
        <sz val="10"/>
        <rFont val="Arial"/>
        <family val="2"/>
      </rPr>
      <t xml:space="preserve">Strategy B: Public transportation </t>
    </r>
    <r>
      <rPr>
        <sz val="10"/>
        <rFont val="Arial"/>
        <family val="2"/>
      </rPr>
      <t xml:space="preserve">
Project space is located within a 500 m walking distance from one public transportation route OR within a 700 m walking distance of 2 different public transportation routes.</t>
    </r>
  </si>
  <si>
    <r>
      <rPr>
        <b/>
        <sz val="10"/>
        <rFont val="Arial"/>
        <family val="2"/>
      </rPr>
      <t>Strategy A: Bicycle friendly</t>
    </r>
    <r>
      <rPr>
        <sz val="10"/>
        <rFont val="Arial"/>
        <family val="2"/>
      </rPr>
      <t xml:space="preserve">
Project occupants have access to covered and secured bicycle parking spaces, shower facilities and lockers/personal storage space </t>
    </r>
  </si>
  <si>
    <t>Space cooling</t>
  </si>
  <si>
    <t>E-1 Space Cooling</t>
  </si>
  <si>
    <t>Strategy A: Natural Ventilation</t>
  </si>
  <si>
    <t>Strategy A: Lighting power density reduction</t>
  </si>
  <si>
    <t>Prerequisite</t>
  </si>
  <si>
    <t>W-PR-1 &amp; W-1 Water Efficient Fixtures</t>
  </si>
  <si>
    <t>The following strategies can be used:</t>
  </si>
  <si>
    <t>• Replace existing fixtures with water efficient fixtures</t>
  </si>
  <si>
    <t>Appliance</t>
  </si>
  <si>
    <t>Residential equipment</t>
  </si>
  <si>
    <t>ENERGY STAR or performance equivalent</t>
  </si>
  <si>
    <t>Residential Clothes washer</t>
  </si>
  <si>
    <t>120 l per load</t>
  </si>
  <si>
    <t>Commercial equipment</t>
  </si>
  <si>
    <t>Commercial Clothes washer</t>
  </si>
  <si>
    <r>
      <t xml:space="preserve">1000 l per </t>
    </r>
    <r>
      <rPr>
        <sz val="10"/>
        <color theme="1"/>
        <rFont val="Arial"/>
        <family val="2"/>
      </rPr>
      <t>cubic meter of laundry</t>
    </r>
  </si>
  <si>
    <t>Commercial Prerinse Spray Valves</t>
  </si>
  <si>
    <t xml:space="preserve">≤ 4.9 l per minute </t>
  </si>
  <si>
    <t>Ice machine</t>
  </si>
  <si>
    <t>ENERGY STAR or performance equivalent and use either air-cooled or closed-loop cooling, such as chilled or condenser water system</t>
  </si>
  <si>
    <t>Kitchen equipment</t>
  </si>
  <si>
    <t>Undercounter</t>
  </si>
  <si>
    <t>≤ 6.0 liters/rack</t>
  </si>
  <si>
    <t>Stationary, single tank, door</t>
  </si>
  <si>
    <t>≤ 5.3 liters/rack</t>
  </si>
  <si>
    <t>Single tank, conveyor</t>
  </si>
  <si>
    <t>≤ 3.8 liters/rack</t>
  </si>
  <si>
    <t>Multiple tank, conveyor</t>
  </si>
  <si>
    <t>≤ 3.4 liters/rack</t>
  </si>
  <si>
    <t>Flight machine</t>
  </si>
  <si>
    <t>≤ 680 liters/hour</t>
  </si>
  <si>
    <t>Food steamer</t>
  </si>
  <si>
    <t>batch</t>
  </si>
  <si>
    <t>≤ 23 liters/hour/pan</t>
  </si>
  <si>
    <t>Cook-to-order</t>
  </si>
  <si>
    <t>≤ 38 liters/hour/pan</t>
  </si>
  <si>
    <t>Combination oven</t>
  </si>
  <si>
    <t>Countertop or stand</t>
  </si>
  <si>
    <t>≤ 13 liters/hour/pan</t>
  </si>
  <si>
    <t>Roll-in</t>
  </si>
  <si>
    <t>Residential dishwashers 
(standard and compact)</t>
  </si>
  <si>
    <t>M-1 Sustainable Materials</t>
  </si>
  <si>
    <t>M-2 Sustainable Furniture Products</t>
  </si>
  <si>
    <t>The following types of furniture products are included in the scope of this credit:</t>
  </si>
  <si>
    <t>• Seatings (chairs, stools, benches, etc.)</t>
  </si>
  <si>
    <t>• Surfaces (tables, desks, etc.)</t>
  </si>
  <si>
    <t>• Work settings (workbench or workstation). Storage, shelving and screening elements which form part of the work setting, cannot be dissociated from the work setting.</t>
  </si>
  <si>
    <t>Reused products</t>
  </si>
  <si>
    <t>Materials with reused components</t>
  </si>
  <si>
    <t>% of reused components (by mass)</t>
  </si>
  <si>
    <t>Materials with recycled content</t>
  </si>
  <si>
    <t>Rapidly renewable material</t>
  </si>
  <si>
    <t>Manufacturer ISO 14001 certification</t>
  </si>
  <si>
    <t>Materials with an Environmental Product Declaration</t>
  </si>
  <si>
    <t>Furniture Product</t>
  </si>
  <si>
    <t>Prerequisites</t>
  </si>
  <si>
    <r>
      <rPr>
        <b/>
        <sz val="10"/>
        <rFont val="Arial"/>
        <family val="2"/>
      </rPr>
      <t>Strategy A: Appliances with Energy Efficiency labels</t>
    </r>
    <r>
      <rPr>
        <sz val="10"/>
        <rFont val="Arial"/>
        <family val="2"/>
      </rPr>
      <t xml:space="preserve">
For 1 point, 30% of appliances and equipment installed have an energy efficiency label
1 point for every additional 20% of appliances and equipment installed that have an energy efficiency label (up to 90%)</t>
    </r>
  </si>
  <si>
    <r>
      <rPr>
        <b/>
        <sz val="10"/>
        <rFont val="Arial"/>
        <family val="2"/>
      </rPr>
      <t>Strategy B: Plug load controls</t>
    </r>
    <r>
      <rPr>
        <sz val="10"/>
        <rFont val="Arial"/>
        <family val="2"/>
      </rPr>
      <t xml:space="preserve">
Install plug load controls for 50% of plug points</t>
    </r>
  </si>
  <si>
    <t>Application &amp; Implementation</t>
  </si>
  <si>
    <t xml:space="preserve">Strategy A: Appliances with Energy Efficiency labels </t>
  </si>
  <si>
    <t>Strategy B: Plug load controls</t>
  </si>
  <si>
    <t xml:space="preserve">Install plug load controls for at least 50% of plug points. </t>
  </si>
  <si>
    <t>Total number of plug points</t>
  </si>
  <si>
    <t>For hotel and motel rooms, key card systems that switch off electricity automatically can also be used as plug load controls.</t>
  </si>
  <si>
    <t>Total number of plug points controlled with an occupant sensor</t>
  </si>
  <si>
    <t>Total number of plug points controlled with a signal from another control</t>
  </si>
  <si>
    <t>Total number of plug points controlled with a schedule</t>
  </si>
  <si>
    <t>Total number of plug points controlled with a key card system</t>
  </si>
  <si>
    <t>Only for hotel and motel rooms:</t>
  </si>
  <si>
    <t>Percentage of plug points controlled [%]</t>
  </si>
  <si>
    <t xml:space="preserve">Total number of plug points designated for equipment requiring 24 hour operation or situated in spaces where an automatic shutoff would endanger the safety or security of the room or building occupants </t>
  </si>
  <si>
    <t xml:space="preserve">• HVAC equipment </t>
  </si>
  <si>
    <t>• Lifts and escalators</t>
  </si>
  <si>
    <t>• Any equipment/system which carries an energy use greater than 100 kVA</t>
  </si>
  <si>
    <t>Compliant sub-metering?</t>
  </si>
  <si>
    <t>• Centralise the data from all meters at a remote location using a communication infrastructure</t>
  </si>
  <si>
    <t>• Meters are able to record data at intervals of one hour or less</t>
  </si>
  <si>
    <t>• Meters are able to record both energy consumption and energy demand</t>
  </si>
  <si>
    <t>Comply?</t>
  </si>
  <si>
    <t>Compliant power monitoring system?</t>
  </si>
  <si>
    <t>Man-2 Construction Stage</t>
  </si>
  <si>
    <t>Man-3 Commissioning</t>
  </si>
  <si>
    <t>Man-5 Green Awareness and Behaviour</t>
  </si>
  <si>
    <t>Man-4 Maintenance</t>
  </si>
  <si>
    <t>H-2 CO2 monitoring</t>
  </si>
  <si>
    <t>H-7 Daylighting</t>
  </si>
  <si>
    <t>H-11 Acoustic Comfort</t>
  </si>
  <si>
    <t>H-12 Post-occupancy comfort</t>
  </si>
  <si>
    <t>H-9 Lighting comfort</t>
  </si>
  <si>
    <t>H-8 External Views</t>
  </si>
  <si>
    <t>H-5 Interior Plants</t>
  </si>
  <si>
    <t>H-4 Pre-occupancy removal of pollutants</t>
  </si>
  <si>
    <t>H-PR-1 Indoor Smoking</t>
  </si>
  <si>
    <t>Prerequisite Requirements</t>
  </si>
  <si>
    <t>Compliant indoor smoking ?</t>
  </si>
  <si>
    <t>H-2 CO2 Monitoring</t>
  </si>
  <si>
    <r>
      <rPr>
        <b/>
        <sz val="10"/>
        <rFont val="Arial"/>
        <family val="2"/>
      </rPr>
      <t>Option A: Flush-out</t>
    </r>
    <r>
      <rPr>
        <sz val="10"/>
        <rFont val="Arial"/>
        <family val="2"/>
      </rPr>
      <t xml:space="preserve">
Perform a flush-out procedure prior to occupancy</t>
    </r>
  </si>
  <si>
    <t>Option A: Flush-out</t>
  </si>
  <si>
    <t>Compliant flush-out?</t>
  </si>
  <si>
    <t>Compliant interior plants?</t>
  </si>
  <si>
    <r>
      <t>Total occupied area [m</t>
    </r>
    <r>
      <rPr>
        <vertAlign val="superscript"/>
        <sz val="10"/>
        <color indexed="9"/>
        <rFont val="Arial"/>
        <family val="2"/>
      </rPr>
      <t>2</t>
    </r>
    <r>
      <rPr>
        <sz val="10"/>
        <color indexed="9"/>
        <rFont val="Arial"/>
        <family val="2"/>
      </rPr>
      <t>]</t>
    </r>
  </si>
  <si>
    <t>• Carefully selected interior plants: Plants should be suitable to indoor environments</t>
  </si>
  <si>
    <t>Plant species</t>
  </si>
  <si>
    <t>Width of the pot 
(mm)</t>
  </si>
  <si>
    <t>Suitable to indoor environments?</t>
  </si>
  <si>
    <t>Number of full time occupants</t>
  </si>
  <si>
    <r>
      <rPr>
        <sz val="10"/>
        <color theme="1"/>
        <rFont val="Calibri"/>
        <family val="2"/>
      </rPr>
      <t xml:space="preserve">≥ </t>
    </r>
    <r>
      <rPr>
        <sz val="10"/>
        <color theme="1"/>
        <rFont val="Arial"/>
        <family val="2"/>
      </rPr>
      <t xml:space="preserve">100 and &lt; 200 </t>
    </r>
  </si>
  <si>
    <r>
      <rPr>
        <sz val="10"/>
        <color theme="1"/>
        <rFont val="Calibri"/>
        <family val="2"/>
      </rPr>
      <t>&lt;</t>
    </r>
    <r>
      <rPr>
        <sz val="10"/>
        <color theme="1"/>
        <rFont val="Arial"/>
        <family val="2"/>
      </rPr>
      <t xml:space="preserve"> 100</t>
    </r>
  </si>
  <si>
    <t>≥ 200 and &lt; 250</t>
  </si>
  <si>
    <t>≥ 250 and &lt; 320</t>
  </si>
  <si>
    <t>≥ 320 and &lt; 400</t>
  </si>
  <si>
    <t>≥ 400 and &lt; 550</t>
  </si>
  <si>
    <t xml:space="preserve"> Total Plant units</t>
  </si>
  <si>
    <t>≥ 550</t>
  </si>
  <si>
    <t>Bed &amp; Vertical Planting</t>
  </si>
  <si>
    <t>Number of pot plants</t>
  </si>
  <si>
    <t>Determine number of equivalent pots based on a width of 250mm.</t>
  </si>
  <si>
    <t>H-6 Green Cleaning</t>
  </si>
  <si>
    <t>Use Environmentally friendly cleaning products</t>
  </si>
  <si>
    <t>Involve a LOTUS AP as a green consultant of the project team</t>
  </si>
  <si>
    <t>Name of the LOTUS AP</t>
  </si>
  <si>
    <t>LOTUS AP No. of Certificate</t>
  </si>
  <si>
    <t>Description of the tasks and responsibilities of the LOTUS AP</t>
  </si>
  <si>
    <t>Compliant LOTUS AP involvement?</t>
  </si>
  <si>
    <t>A LOTUS AP should be appointed with direct responsibility to ensure that all sustainable aspects of the project are met throughout the project design and construction.</t>
  </si>
  <si>
    <r>
      <rPr>
        <b/>
        <sz val="10"/>
        <rFont val="Arial"/>
        <family val="2"/>
      </rPr>
      <t>Strategy A: Air quality management</t>
    </r>
    <r>
      <rPr>
        <sz val="10"/>
        <rFont val="Arial"/>
        <family val="2"/>
      </rPr>
      <t xml:space="preserve">
Implement adequate mitigation measures to reduce indoor air quality (IAQ) impacts arising from fit-out activities</t>
    </r>
  </si>
  <si>
    <r>
      <rPr>
        <b/>
        <sz val="10"/>
        <rFont val="Arial"/>
        <family val="2"/>
      </rPr>
      <t>Strategy B: Environmental Management</t>
    </r>
    <r>
      <rPr>
        <sz val="10"/>
        <rFont val="Arial"/>
        <family val="2"/>
      </rPr>
      <t xml:space="preserve">
The main contractor has valid ISO14001 accreditation</t>
    </r>
  </si>
  <si>
    <r>
      <rPr>
        <b/>
        <sz val="10"/>
        <rFont val="Arial"/>
        <family val="2"/>
      </rPr>
      <t>Strategy D: Site safety and welfare</t>
    </r>
    <r>
      <rPr>
        <sz val="10"/>
        <rFont val="Arial"/>
        <family val="2"/>
      </rPr>
      <t xml:space="preserve">
Implement adequate measures to provide safety and welfare for construction workers</t>
    </r>
  </si>
  <si>
    <r>
      <rPr>
        <b/>
        <sz val="10"/>
        <rFont val="Arial"/>
        <family val="2"/>
      </rPr>
      <t>Strategy C: Construction Noise</t>
    </r>
    <r>
      <rPr>
        <sz val="10"/>
        <rFont val="Arial"/>
        <family val="2"/>
      </rPr>
      <t xml:space="preserve">
Implement adequate measures to reduce noise level arising from fit-out activities</t>
    </r>
  </si>
  <si>
    <t>Strategy A: Air quality management</t>
  </si>
  <si>
    <t>Strategy B: Environmental Management</t>
  </si>
  <si>
    <t>Compliant Environmental Management?</t>
  </si>
  <si>
    <t>Select a main contractor with valid ISO14001 Environmental Management System (EMS) accreditation throughout the construction phase of the project.</t>
  </si>
  <si>
    <t>Main Contractor</t>
  </si>
  <si>
    <t>Strategy D: Site safety and welfare</t>
  </si>
  <si>
    <t xml:space="preserve">H-7 Daylighting </t>
  </si>
  <si>
    <t>For 1 point, 60% of all occupied spaces have an average daylight factor between 1.5% and 3.5%
For 2 points, 80% of all occupied spaces have an average daylight factor between 1.5% and 3.5%</t>
  </si>
  <si>
    <t>Occupied room name</t>
  </si>
  <si>
    <t>Strategies to consider to offer occupants a connection to the outdoors through vision glazing:</t>
  </si>
  <si>
    <t>• Locating open areas near the perimeter of the building</t>
  </si>
  <si>
    <t>• Locating unoccupied spaces within the core of the building</t>
  </si>
  <si>
    <t>• Application of glazing for internal partitions</t>
  </si>
  <si>
    <t>For this credit, a glazing can be considered as a vision glazing (or external view) only if:</t>
  </si>
  <si>
    <t>H-10 Thermal Comfort</t>
  </si>
  <si>
    <t>Natural light promoting designs strategies include:</t>
  </si>
  <si>
    <t>• Window arrangement</t>
  </si>
  <si>
    <t>• Open plan design</t>
  </si>
  <si>
    <t>• it provides a clear image of the exterior, not obstructed by frits, fibers, patterned glazing, or added tints that distort color balance.</t>
  </si>
  <si>
    <t>• It is present between 0.8 m and 2.2 m above the finished floor; and</t>
  </si>
  <si>
    <t>Select the calculation method pursued:</t>
  </si>
  <si>
    <t xml:space="preserve">Daylight factor (DF) is the ratio of the light level inside a room to the light level outdoors.
It is used to assess the internal natural lighting levels as perceived on working planes or surfaces. </t>
  </si>
  <si>
    <t>Average DF [%]</t>
  </si>
  <si>
    <t xml:space="preserve">Average DF [%]
(from modelling) </t>
  </si>
  <si>
    <t>Manual shadings?</t>
  </si>
  <si>
    <t>Strategy A: Waste Diversion</t>
  </si>
  <si>
    <t>LOTUS Interiors is composed of 7 categories, each containing a varying number of credits.</t>
  </si>
  <si>
    <r>
      <t xml:space="preserve">• In addition to the above Categories, an </t>
    </r>
    <r>
      <rPr>
        <b/>
        <sz val="11"/>
        <color rgb="FFFFC000"/>
        <rFont val="Calibri"/>
        <family val="2"/>
        <scheme val="minor"/>
      </rPr>
      <t>Innovation (Inn)</t>
    </r>
    <r>
      <rPr>
        <sz val="11"/>
        <rFont val="Calibri"/>
        <family val="2"/>
        <scheme val="minor"/>
      </rPr>
      <t xml:space="preserve"> category rewards exceptional performance or initiatives which are not specifically addressed by LOTUS. 
This category awards additional bonus points.</t>
    </r>
  </si>
  <si>
    <t>Percentage of sustainable furniture products [%]</t>
  </si>
  <si>
    <t xml:space="preserve">Option C: Strategies to limit the Atmospheric Impact of the refrigerants used in the project </t>
  </si>
  <si>
    <r>
      <rPr>
        <b/>
        <sz val="10"/>
        <rFont val="Arial"/>
        <family val="2"/>
      </rPr>
      <t xml:space="preserve">Option B: Refrigerant Atmospheric Impact of HVAC systems </t>
    </r>
    <r>
      <rPr>
        <sz val="10"/>
        <rFont val="Arial"/>
        <family val="2"/>
      </rPr>
      <t xml:space="preserve">
Average Refrigerant Atmospheric Impact of all the air-conditioning systems installed in the building is below 11</t>
    </r>
  </si>
  <si>
    <t>Definitions</t>
  </si>
  <si>
    <t xml:space="preserve">Option A: No Refrigerants or Low-Impact Refrigerants </t>
  </si>
  <si>
    <t xml:space="preserve">Option B: Refrigerant Atmospheric Impact of HVAC systems </t>
  </si>
  <si>
    <t>System 1</t>
  </si>
  <si>
    <t>System 2</t>
  </si>
  <si>
    <t>System 3</t>
  </si>
  <si>
    <t>System 4</t>
  </si>
  <si>
    <t>System 5</t>
  </si>
  <si>
    <t>System 6</t>
  </si>
  <si>
    <t>System 7</t>
  </si>
  <si>
    <t>System 8</t>
  </si>
  <si>
    <t>Number of Units</t>
  </si>
  <si>
    <t>Refrigerant Type</t>
  </si>
  <si>
    <t>Annual Leakage Rate</t>
  </si>
  <si>
    <t>End of Life Refrigerant Loss</t>
  </si>
  <si>
    <t>Equipment Life</t>
  </si>
  <si>
    <t>Lifecycle ODP</t>
  </si>
  <si>
    <t>Lifecycle GWP</t>
  </si>
  <si>
    <t>Refrigerant atmospheric impact</t>
  </si>
  <si>
    <t>Refrigerant Charge Rc (kg/kW)</t>
  </si>
  <si>
    <t xml:space="preserve">Ozone Depletion Potential ODPr </t>
  </si>
  <si>
    <t>Annual Leakage Rate Lr (%)</t>
  </si>
  <si>
    <t>End of Life Refrigerant Loss Mr (%)</t>
  </si>
  <si>
    <t>Equipment Life (years)</t>
  </si>
  <si>
    <r>
      <t xml:space="preserve"> Cooling capacity Q</t>
    </r>
    <r>
      <rPr>
        <vertAlign val="subscript"/>
        <sz val="10"/>
        <color theme="0"/>
        <rFont val="Arial"/>
        <family val="2"/>
      </rPr>
      <t xml:space="preserve">unit </t>
    </r>
    <r>
      <rPr>
        <sz val="10"/>
        <color theme="0"/>
        <rFont val="Arial"/>
        <family val="2"/>
      </rPr>
      <t>(kW)</t>
    </r>
  </si>
  <si>
    <r>
      <t>Global Warming Potential GWPr</t>
    </r>
    <r>
      <rPr>
        <vertAlign val="subscript"/>
        <sz val="10"/>
        <color theme="0"/>
        <rFont val="Arial"/>
        <family val="2"/>
      </rPr>
      <t>100</t>
    </r>
    <r>
      <rPr>
        <sz val="10"/>
        <color theme="0"/>
        <rFont val="Arial"/>
        <family val="2"/>
      </rPr>
      <t xml:space="preserve"> </t>
    </r>
  </si>
  <si>
    <t>Total refrigerant charge (kg)</t>
  </si>
  <si>
    <t xml:space="preserve">WP-1 Refrigerants </t>
  </si>
  <si>
    <r>
      <rPr>
        <i/>
        <sz val="10"/>
        <color rgb="FF4A562A"/>
        <rFont val="Arial"/>
        <family val="2"/>
      </rPr>
      <t>Table WP.1</t>
    </r>
    <r>
      <rPr>
        <i/>
        <sz val="10"/>
        <rFont val="Arial"/>
        <family val="2"/>
      </rPr>
      <t>: List of some selected refrigerants that have a limited atmospheric impact (values from IPCC Fifth Assessment Report 2013)</t>
    </r>
  </si>
  <si>
    <r>
      <rPr>
        <i/>
        <sz val="10"/>
        <color rgb="FF4A562A"/>
        <rFont val="Arial"/>
        <family val="2"/>
      </rPr>
      <t xml:space="preserve">Table WP.2: </t>
    </r>
    <r>
      <rPr>
        <i/>
        <sz val="10"/>
        <rFont val="Arial"/>
        <family val="2"/>
      </rPr>
      <t>Recommended Lifetime values for different types of equipment (Source: ASHRAE Applications Handbook, 2007)</t>
    </r>
  </si>
  <si>
    <r>
      <rPr>
        <sz val="10"/>
        <rFont val="Calibri"/>
        <family val="2"/>
      </rPr>
      <t>•</t>
    </r>
    <r>
      <rPr>
        <sz val="10"/>
        <rFont val="Arial"/>
        <family val="2"/>
      </rPr>
      <t xml:space="preserve"> Select equipment which uses a low refrigerant charge (centralised direct expansion systems to be avoided) </t>
    </r>
  </si>
  <si>
    <r>
      <rPr>
        <sz val="10"/>
        <rFont val="Calibri"/>
        <family val="2"/>
      </rPr>
      <t>•</t>
    </r>
    <r>
      <rPr>
        <sz val="10"/>
        <rFont val="Arial"/>
        <family val="2"/>
      </rPr>
      <t xml:space="preserve"> Select equipment which can ensure a lower leakage rate of the refrigerant (under 2% per year)</t>
    </r>
  </si>
  <si>
    <r>
      <rPr>
        <sz val="10"/>
        <rFont val="Calibri"/>
        <family val="2"/>
      </rPr>
      <t>•</t>
    </r>
    <r>
      <rPr>
        <sz val="10"/>
        <rFont val="Arial"/>
        <family val="2"/>
      </rPr>
      <t xml:space="preserve"> Select refrigerants that have a limited atmospheric impact. In general, such refrigerants should have both low GWP</t>
    </r>
    <r>
      <rPr>
        <vertAlign val="subscript"/>
        <sz val="10"/>
        <rFont val="Arial"/>
        <family val="2"/>
      </rPr>
      <t>100</t>
    </r>
    <r>
      <rPr>
        <sz val="10"/>
        <rFont val="Arial"/>
        <family val="2"/>
      </rPr>
      <t xml:space="preserve"> values (under 2000) and ODP values of 0. </t>
    </r>
  </si>
  <si>
    <t xml:space="preserve">Percentage of waste reused, salvaged and/or recycle (%) </t>
  </si>
  <si>
    <t xml:space="preserve">Recycle or reuse typical demolition and construction waste such as: </t>
  </si>
  <si>
    <t>Strategy B: Reduction of Waste Generation</t>
  </si>
  <si>
    <t>H-9 Lighting Comfort</t>
  </si>
  <si>
    <r>
      <rPr>
        <b/>
        <sz val="10"/>
        <rFont val="Arial"/>
        <family val="2"/>
      </rPr>
      <t>Strategy A: Thermal Comfort Design</t>
    </r>
    <r>
      <rPr>
        <sz val="10"/>
        <rFont val="Arial"/>
        <family val="2"/>
      </rPr>
      <t xml:space="preserve">
95% of the occupied spaces shall be designed to avoid overheating under hot summer conditions</t>
    </r>
  </si>
  <si>
    <t xml:space="preserve">Perform a flush-out procedure prior to occupancy. </t>
  </si>
  <si>
    <t>The flush-out shall be continuous with a minimum fresh air supply rate no less than the design minimum (as calculated in credit H-1). The TAC required shall be supplied prior to occupancy.</t>
  </si>
  <si>
    <t>Select the flush-out option pursued:</t>
  </si>
  <si>
    <t xml:space="preserve">All accessible supply air ductwork has to be cleaned to remove dust, dirt and mould prior to occupancy. </t>
  </si>
  <si>
    <t xml:space="preserve">Projects may follow an alternative procedure and perform a baseline IAQ monitoring. This shall be subject to VGBC approval. </t>
  </si>
  <si>
    <t>Ceiling height (m)</t>
  </si>
  <si>
    <t xml:space="preserve">Minimum fresh air supply rate (L/s) </t>
  </si>
  <si>
    <t>H-12 Post-occupancy Comfort</t>
  </si>
  <si>
    <t>LT-2 Tenancy lease</t>
  </si>
  <si>
    <t>LT-4 Facilities and amenities for occupants</t>
  </si>
  <si>
    <t>Precise type of facilities/amenities:</t>
  </si>
  <si>
    <t>Compliant access to facilities and amenities?</t>
  </si>
  <si>
    <t xml:space="preserve">LT-PR-1 Green Transportation </t>
  </si>
  <si>
    <r>
      <rPr>
        <b/>
        <sz val="10"/>
        <rFont val="Arial"/>
        <family val="2"/>
      </rPr>
      <t>Option B: Green lease</t>
    </r>
    <r>
      <rPr>
        <sz val="10"/>
        <rFont val="Arial"/>
        <family val="2"/>
      </rPr>
      <t xml:space="preserve">
A green lease is signed with the landlord </t>
    </r>
  </si>
  <si>
    <r>
      <rPr>
        <b/>
        <sz val="10"/>
        <rFont val="Arial"/>
        <family val="2"/>
      </rPr>
      <t>Option A: Long-term lease</t>
    </r>
    <r>
      <rPr>
        <sz val="10"/>
        <rFont val="Arial"/>
        <family val="2"/>
      </rPr>
      <t xml:space="preserve">
The fixed term period of the lease is at least 6 years</t>
    </r>
  </si>
  <si>
    <t>Strategy D: Composite wood products</t>
  </si>
  <si>
    <r>
      <rPr>
        <b/>
        <sz val="10"/>
        <rFont val="Arial"/>
        <family val="2"/>
      </rPr>
      <t>Strategy B: Dedicated recycling storage area</t>
    </r>
    <r>
      <rPr>
        <sz val="10"/>
        <rFont val="Arial"/>
        <family val="2"/>
      </rPr>
      <t xml:space="preserve">
Provide a storage place with different bins for recyclables, organic wastes and garbage</t>
    </r>
  </si>
  <si>
    <t xml:space="preserve">Strategy A: Environmentally friendly waste management system </t>
  </si>
  <si>
    <t>Strategy B: Dedicated recycling storage area</t>
  </si>
  <si>
    <t>Sustainability factor</t>
  </si>
  <si>
    <t>• Walk-in refrigerators</t>
  </si>
  <si>
    <t>• Walk-in freezers</t>
  </si>
  <si>
    <t>• Refrigerated casework</t>
  </si>
  <si>
    <t>To reduce the average Refrigerant Atmospheric Impact of air-conditioning systems, projects are encouraged to:</t>
  </si>
  <si>
    <t>System Type</t>
  </si>
  <si>
    <r>
      <t>GWP</t>
    </r>
    <r>
      <rPr>
        <vertAlign val="subscript"/>
        <sz val="10"/>
        <color theme="0"/>
        <rFont val="Arial"/>
        <family val="2"/>
      </rPr>
      <t>100</t>
    </r>
  </si>
  <si>
    <t>Refrigerant type</t>
  </si>
  <si>
    <t>ODP</t>
  </si>
  <si>
    <t xml:space="preserve">Refrigerant </t>
  </si>
  <si>
    <t>Commercial Refrigeration System</t>
  </si>
  <si>
    <r>
      <t>All refrigerants with a GWP</t>
    </r>
    <r>
      <rPr>
        <vertAlign val="subscript"/>
        <sz val="10"/>
        <color theme="0"/>
        <rFont val="Arial"/>
        <family val="2"/>
      </rPr>
      <t>100</t>
    </r>
    <r>
      <rPr>
        <sz val="10"/>
        <color theme="0"/>
        <rFont val="Arial"/>
        <family val="2"/>
      </rPr>
      <t xml:space="preserve"> below 2000 and an ODP ≤ 0.02?</t>
    </r>
  </si>
  <si>
    <t>Any centralised direct expansion systems used?</t>
  </si>
  <si>
    <t>Refrigerant charge (kg)</t>
  </si>
  <si>
    <t>Is an indirect (secondary) system used ?</t>
  </si>
  <si>
    <t>More than 50% (by mass) of natural refrigerants or HFOs?</t>
  </si>
  <si>
    <t>Handling Procedure</t>
  </si>
  <si>
    <r>
      <t>Gross Floor Area (m</t>
    </r>
    <r>
      <rPr>
        <vertAlign val="superscript"/>
        <sz val="10"/>
        <color rgb="FFFFFFFF"/>
        <rFont val="Arial"/>
        <family val="2"/>
      </rPr>
      <t>2</t>
    </r>
    <r>
      <rPr>
        <sz val="10"/>
        <color rgb="FFFFFFFF"/>
        <rFont val="Arial"/>
        <family val="2"/>
      </rPr>
      <t>)</t>
    </r>
  </si>
  <si>
    <t>Dedicated Recycling Area (% of GFA)</t>
  </si>
  <si>
    <r>
      <t>Size of the recycling storage area (m</t>
    </r>
    <r>
      <rPr>
        <vertAlign val="superscript"/>
        <sz val="10"/>
        <color theme="0"/>
        <rFont val="Arial"/>
        <family val="2"/>
      </rPr>
      <t>2</t>
    </r>
    <r>
      <rPr>
        <sz val="10"/>
        <color theme="0"/>
        <rFont val="Arial"/>
        <family val="2"/>
      </rPr>
      <t>)</t>
    </r>
  </si>
  <si>
    <t>Compliant recycling storage area?</t>
  </si>
  <si>
    <t>Strategy A : External views</t>
  </si>
  <si>
    <t xml:space="preserve">Strategy B : Quality views </t>
  </si>
  <si>
    <t>Strategy A: General Illuminance</t>
  </si>
  <si>
    <t>Achieved ?</t>
  </si>
  <si>
    <t>Total Results</t>
  </si>
  <si>
    <t>Space Function</t>
  </si>
  <si>
    <t>Building Categories</t>
  </si>
  <si>
    <t>Corridor</t>
  </si>
  <si>
    <t>Lobby</t>
  </si>
  <si>
    <t>Food Preparation</t>
  </si>
  <si>
    <t>Storage, Active</t>
  </si>
  <si>
    <t>Storage, Inactive</t>
  </si>
  <si>
    <t>Apartments / Condos (Public spaces)</t>
  </si>
  <si>
    <t>Lobby, General</t>
  </si>
  <si>
    <t>Lobby, Writing area</t>
  </si>
  <si>
    <t>Tellers' stations</t>
  </si>
  <si>
    <t>Bathrooms</t>
  </si>
  <si>
    <t>Guest/ Bed Rooms, General</t>
  </si>
  <si>
    <t>Guest/ Bed Rooms, Reading</t>
  </si>
  <si>
    <t>Corridors, elevators and stairs</t>
  </si>
  <si>
    <t>Banquet and Exhibit</t>
  </si>
  <si>
    <t>Lobby, Front Desk, Reading</t>
  </si>
  <si>
    <t>Lobby, General Lighting</t>
  </si>
  <si>
    <t>Libraries</t>
  </si>
  <si>
    <t>OFFICES</t>
  </si>
  <si>
    <t>Accounting</t>
  </si>
  <si>
    <t>Conference areas</t>
  </si>
  <si>
    <t>General and private offices</t>
  </si>
  <si>
    <t>Off-set printing and duplicating area</t>
  </si>
  <si>
    <t>Fast Food/ Cafeteria</t>
  </si>
  <si>
    <t>Leisure Dining</t>
  </si>
  <si>
    <t>Bar/ Lounge</t>
  </si>
  <si>
    <t>Conventional with counters</t>
  </si>
  <si>
    <t>Conventional with wall display</t>
  </si>
  <si>
    <t>Self Service</t>
  </si>
  <si>
    <t>Supermarkets</t>
  </si>
  <si>
    <t>Mall concourse/ multi-store service</t>
  </si>
  <si>
    <t>Nursing Homes</t>
  </si>
  <si>
    <t>Pre/elementary</t>
  </si>
  <si>
    <t>High/ Tech/ University</t>
  </si>
  <si>
    <t>Consulting areas, General</t>
  </si>
  <si>
    <t>Consulting areas, Examination</t>
  </si>
  <si>
    <t>Corridors, General, Waiting Rooms</t>
  </si>
  <si>
    <t>Ward Corridors, Day / Night</t>
  </si>
  <si>
    <t>Laboratories, General</t>
  </si>
  <si>
    <t>Laboratories, Examination</t>
  </si>
  <si>
    <t>Nurses Stations</t>
  </si>
  <si>
    <t>Ward Bed Head, Reading</t>
  </si>
  <si>
    <t>Surgeries, General</t>
  </si>
  <si>
    <r>
      <t>Area of the room (m</t>
    </r>
    <r>
      <rPr>
        <vertAlign val="superscript"/>
        <sz val="10"/>
        <color indexed="9"/>
        <rFont val="Arial"/>
        <family val="2"/>
      </rPr>
      <t>2</t>
    </r>
    <r>
      <rPr>
        <sz val="10"/>
        <color indexed="9"/>
        <rFont val="Arial"/>
        <family val="2"/>
      </rPr>
      <t>)</t>
    </r>
  </si>
  <si>
    <t>Percentage of occupied spaces with compliant illuminance (%)</t>
  </si>
  <si>
    <t>Strategy B: Light Distribution</t>
  </si>
  <si>
    <t>1. Define the project and objectives</t>
  </si>
  <si>
    <t>2. Selection of targeted credits</t>
  </si>
  <si>
    <t>3. Credit Compliance</t>
  </si>
  <si>
    <t>Projects are not required to follow these recommendations;  they are only given for information purpose.</t>
  </si>
  <si>
    <t>Step 2: identify the objectives of the project:</t>
  </si>
  <si>
    <t>It helps to base the Selection of credits on the following criteria:</t>
  </si>
  <si>
    <t>• Feasibility: Not all credits are applicable for all projects</t>
  </si>
  <si>
    <t>• Simplicity: Some credits can be quite challenging when others are straight forward</t>
  </si>
  <si>
    <t>• Compatibility with owner requirements (comfort, budget, etc.)</t>
  </si>
  <si>
    <t>1. Before deciding the credits to target, go through the User Tool and test the credits to understand requirements.</t>
  </si>
  <si>
    <t>2. Always keep a safety net by targeting more credits than needed to reach the desired Certification Level.</t>
  </si>
  <si>
    <t>3. Ideally, the whole project team should contribute to the selection of targeted credits before the beginning of the design stage.</t>
  </si>
  <si>
    <t>3. Credit compliance</t>
  </si>
  <si>
    <t>After selecting the credits,make sure that the project will comply with all credit requirements.</t>
  </si>
  <si>
    <t>To comply with a credit, projects must:</t>
  </si>
  <si>
    <t>• achieve the required performance</t>
  </si>
  <si>
    <t>• provide documentation demonstrating that the requirements are achieved</t>
  </si>
  <si>
    <t>1. Always make sure that requirements will be achieved by completing the information in the User Tool as early as possible.</t>
  </si>
  <si>
    <t>Recommendations for LOTUS Interiors Certification</t>
  </si>
  <si>
    <t>FC</t>
  </si>
  <si>
    <t>PC (optional)</t>
  </si>
  <si>
    <t>LOTUS Interiors Eligibility Rules</t>
  </si>
  <si>
    <t xml:space="preserve">The project must be clearly distinct from other spaces within the same building with regards to at least one of the following characteristics: ownership, management, lease, or party wall separation. The owner of the project must be different from the owner of the building. </t>
  </si>
  <si>
    <t>The project must include a complete interior space. Project components are not eligible.</t>
  </si>
  <si>
    <t>Project should show a 3-years lease contract or commit that the area will be used as the same function for a minimum of 3-years period starting from the achievement of LOTUS Certification.</t>
  </si>
  <si>
    <t>Number of full-time occupants</t>
  </si>
  <si>
    <t>Does the project install some lighting fixtures in the space?</t>
  </si>
  <si>
    <t>Does the project install some sanitaryware products in the space?</t>
  </si>
  <si>
    <t>Does the project install some HVAC systems in the space?</t>
  </si>
  <si>
    <t>Does the project install some refrigeration systems (not stand-alone equipment) in the space?</t>
  </si>
  <si>
    <t xml:space="preserve">LOTUS Interiors includes 4 prerequisites, a reduced number compared to most other LOTUS systems due to the reduction of the scope of interior projects
Each prerequisite, whether stand-alone or included inside a credit, must be carried out as a minimum requirement for all projects applying for LOTUS Interiors. </t>
  </si>
  <si>
    <t>In a building project with unique constraints or certain building typologies, the VGBC recognises that some prerequisites and/or credits in LOTUS may not be attainable. Where it can be demonstrated that all reasonable strategies have been considered and a building is still not able to meet these prerequisites and/or credits, or alternately that the pre-requisite is patently unsuitable for that building, the VGBC reserves the right to waive those requirements. Such decisions will only be made through careful consideration by the VGBC.</t>
  </si>
  <si>
    <t>2. Notify relevant parties as early as possible about specific documentation requirements.</t>
  </si>
  <si>
    <t xml:space="preserve">Note: This sheet provides further advice for project undergoing LOTUS Interiors Certification. </t>
  </si>
  <si>
    <t>• office spaces</t>
  </si>
  <si>
    <t>• retail spaces (supermarkets, shops, etc.) and restaurants</t>
  </si>
  <si>
    <t>• hospitality spaces (spaces dedicated to businesses within the service industry that provide transitional or short-term lodging)</t>
  </si>
  <si>
    <t xml:space="preserve">• health facilities including clinics, etc. </t>
  </si>
  <si>
    <t>• educational facilities</t>
  </si>
  <si>
    <t>Provisional Certification stage checklist</t>
  </si>
  <si>
    <t>All relevant communication with the VGBC (technical queries, credit interpretations, etc.)</t>
  </si>
  <si>
    <t>Credit folders with all required documentation for all targeted credits</t>
  </si>
  <si>
    <t>All documents (except technical data) are dated</t>
  </si>
  <si>
    <t>All drawings, plans, elevations or other documentation drawn by hand must be signed</t>
  </si>
  <si>
    <t>Before introducing the different sheets composing this user form, please note these  important considerations:</t>
  </si>
  <si>
    <t xml:space="preserve">The User Tool is a template which allows the applicant to: </t>
  </si>
  <si>
    <t>• select the targeted credits</t>
  </si>
  <si>
    <t>• perform the calculations required in the credits</t>
  </si>
  <si>
    <t>• have a complete overview of the LOTUS Interiors system</t>
  </si>
  <si>
    <t>LOTUS is a points-based system. Projects obtain points for complying with LOTUS credit criteria. 
Projects are not required to comply with every credit. Only target appropriate credits that projects can reasonably achieve. However, each project must target a minimum number of credits in order to achieve sufficient points to match the desired certification level (cf section 'LOTUS Interiors Certification' below)
For a project to comply with a credit, it must meet the intent of the credit, achieve the specific requirements of the credit and provide  the required submission documents.</t>
  </si>
  <si>
    <t>Strategy E: Alternative strategies</t>
  </si>
  <si>
    <r>
      <t xml:space="preserve">• </t>
    </r>
    <r>
      <rPr>
        <sz val="7"/>
        <color rgb="FF000000"/>
        <rFont val="Arial"/>
        <family val="2"/>
      </rPr>
      <t xml:space="preserve"> </t>
    </r>
    <r>
      <rPr>
        <sz val="10"/>
        <color rgb="FF000000"/>
        <rFont val="Arial"/>
        <family val="2"/>
      </rPr>
      <t>Design Solutions for resource efficiency</t>
    </r>
  </si>
  <si>
    <r>
      <t xml:space="preserve">• </t>
    </r>
    <r>
      <rPr>
        <sz val="10"/>
        <color rgb="FF000000"/>
        <rFont val="Arial"/>
        <family val="2"/>
      </rPr>
      <t>Material Procurement</t>
    </r>
  </si>
  <si>
    <r>
      <t xml:space="preserve">• </t>
    </r>
    <r>
      <rPr>
        <sz val="7"/>
        <color rgb="FF000000"/>
        <rFont val="Arial"/>
        <family val="2"/>
      </rPr>
      <t xml:space="preserve"> </t>
    </r>
    <r>
      <rPr>
        <sz val="10"/>
        <color rgb="FF000000"/>
        <rFont val="Arial"/>
        <family val="2"/>
      </rPr>
      <t>Construction Logistics</t>
    </r>
  </si>
  <si>
    <r>
      <t xml:space="preserve">• </t>
    </r>
    <r>
      <rPr>
        <sz val="10"/>
        <color rgb="FF000000"/>
        <rFont val="Arial"/>
        <family val="2"/>
      </rPr>
      <t>Offsite Construction</t>
    </r>
  </si>
  <si>
    <r>
      <t xml:space="preserve">• </t>
    </r>
    <r>
      <rPr>
        <sz val="10"/>
        <color rgb="FF000000"/>
        <rFont val="Arial"/>
        <family val="2"/>
      </rPr>
      <t>Packaging</t>
    </r>
  </si>
  <si>
    <t>Compliant Reduction of Waste Generation?</t>
  </si>
  <si>
    <t>Select the unit used for the credit:</t>
  </si>
  <si>
    <t>The selected unit must be applied consistently for all materials throughout the calculations.</t>
  </si>
  <si>
    <r>
      <t>Specify and install a CO</t>
    </r>
    <r>
      <rPr>
        <vertAlign val="subscript"/>
        <sz val="10"/>
        <rFont val="Arial"/>
        <family val="2"/>
      </rPr>
      <t>2</t>
    </r>
    <r>
      <rPr>
        <sz val="10"/>
        <rFont val="Arial"/>
        <family val="2"/>
      </rPr>
      <t xml:space="preserve"> monitoring system</t>
    </r>
  </si>
  <si>
    <r>
      <t>Specify and install a CO</t>
    </r>
    <r>
      <rPr>
        <b/>
        <vertAlign val="subscript"/>
        <sz val="10"/>
        <rFont val="Arial"/>
        <family val="2"/>
      </rPr>
      <t>2</t>
    </r>
    <r>
      <rPr>
        <b/>
        <sz val="10"/>
        <rFont val="Arial"/>
        <family val="2"/>
      </rPr>
      <t xml:space="preserve"> monitoring system. </t>
    </r>
  </si>
  <si>
    <t>Occupied room</t>
  </si>
  <si>
    <t xml:space="preserve">Location of the sensors </t>
  </si>
  <si>
    <r>
      <t>Number of CO</t>
    </r>
    <r>
      <rPr>
        <vertAlign val="subscript"/>
        <sz val="10"/>
        <color indexed="9"/>
        <rFont val="Arial"/>
        <family val="2"/>
      </rPr>
      <t>2</t>
    </r>
    <r>
      <rPr>
        <sz val="10"/>
        <color indexed="9"/>
        <rFont val="Arial"/>
        <family val="2"/>
      </rPr>
      <t xml:space="preserve"> sensors installed </t>
    </r>
  </si>
  <si>
    <r>
      <t>CO</t>
    </r>
    <r>
      <rPr>
        <vertAlign val="subscript"/>
        <sz val="10"/>
        <color indexed="9"/>
        <rFont val="Arial"/>
        <family val="2"/>
      </rPr>
      <t>2</t>
    </r>
    <r>
      <rPr>
        <sz val="10"/>
        <color indexed="9"/>
        <rFont val="Arial"/>
        <family val="2"/>
      </rPr>
      <t xml:space="preserve"> monitoring technique</t>
    </r>
  </si>
  <si>
    <r>
      <rPr>
        <u/>
        <sz val="10"/>
        <rFont val="Arial"/>
        <family val="2"/>
      </rPr>
      <t>Technique 1</t>
    </r>
    <r>
      <rPr>
        <sz val="10"/>
        <rFont val="Arial"/>
        <family val="2"/>
      </rPr>
      <t>: Install permanent CO</t>
    </r>
    <r>
      <rPr>
        <vertAlign val="subscript"/>
        <sz val="10"/>
        <rFont val="Arial"/>
        <family val="2"/>
      </rPr>
      <t>2</t>
    </r>
    <r>
      <rPr>
        <sz val="10"/>
        <rFont val="Arial"/>
        <family val="2"/>
      </rPr>
      <t xml:space="preserve"> sensors integrated with building automation systems to ensure continuous adjustments of the fresh air supply </t>
    </r>
  </si>
  <si>
    <r>
      <t>CO</t>
    </r>
    <r>
      <rPr>
        <vertAlign val="subscript"/>
        <sz val="10"/>
        <color indexed="9"/>
        <rFont val="Arial"/>
        <family val="2"/>
      </rPr>
      <t>2max</t>
    </r>
    <r>
      <rPr>
        <sz val="10"/>
        <color indexed="9"/>
        <rFont val="Arial"/>
        <family val="2"/>
      </rPr>
      <t xml:space="preserve"> concentration</t>
    </r>
  </si>
  <si>
    <r>
      <rPr>
        <sz val="11"/>
        <rFont val="Symbol"/>
        <family val="1"/>
        <charset val="2"/>
      </rPr>
      <t>®</t>
    </r>
    <r>
      <rPr>
        <sz val="11"/>
        <rFont val="Calibri"/>
        <family val="2"/>
        <scheme val="minor"/>
      </rPr>
      <t xml:space="preserve"> Read the Introduction, Instructions and Recommendations sheets before proceeding with credit selection.</t>
    </r>
  </si>
  <si>
    <t>These Eligibility Rules are listed in the 'LOTUS Interiors Eligibility' spreadsheet.</t>
  </si>
  <si>
    <t>3. Enquiries</t>
  </si>
  <si>
    <t>W&amp;P</t>
  </si>
  <si>
    <t>L&amp;T</t>
  </si>
  <si>
    <t xml:space="preserve">Navigation </t>
  </si>
  <si>
    <t>Introduction on LOTUS Interiors</t>
  </si>
  <si>
    <t>2. Eligibility</t>
  </si>
  <si>
    <t>4. Credits</t>
  </si>
  <si>
    <t>3. Categories</t>
  </si>
  <si>
    <t>1. Scope</t>
  </si>
  <si>
    <t xml:space="preserve">5. Prerequisites </t>
  </si>
  <si>
    <t>6. Certification Levels</t>
  </si>
  <si>
    <t>7. Certification Process</t>
  </si>
  <si>
    <t>2. LOTUS Interiors Eligibility</t>
  </si>
  <si>
    <t>3. LOTUS Interiors Categories</t>
  </si>
  <si>
    <t>4. LOTUS Interiors Credits</t>
  </si>
  <si>
    <t>6. LOTUS Interiors Certification Levels</t>
  </si>
  <si>
    <t>5. LOTUS Interiors Prerequisites</t>
  </si>
  <si>
    <r>
      <t>Gross Floor Area (m</t>
    </r>
    <r>
      <rPr>
        <vertAlign val="superscript"/>
        <sz val="11"/>
        <rFont val="Arial"/>
        <family val="2"/>
      </rPr>
      <t>2</t>
    </r>
    <r>
      <rPr>
        <sz val="11"/>
        <rFont val="Arial"/>
        <family val="2"/>
      </rPr>
      <t>)</t>
    </r>
  </si>
  <si>
    <t>7. LOTUS Interiors Certification Process</t>
  </si>
  <si>
    <t>8. LOTUS Interiors Submissions</t>
  </si>
  <si>
    <t xml:space="preserve">Smoking should be banned inside the whole project space </t>
  </si>
  <si>
    <t>Prohibit smoking in the project space</t>
  </si>
  <si>
    <t>If any designated smoking areas:</t>
  </si>
  <si>
    <t>Submission stage</t>
  </si>
  <si>
    <t>Pre-assessment stage</t>
  </si>
  <si>
    <t>WP-2 Strategy A</t>
  </si>
  <si>
    <t>WP-2 Strategy B</t>
  </si>
  <si>
    <t>E-4 Sub-metering</t>
  </si>
  <si>
    <t>E-4 PMS</t>
  </si>
  <si>
    <t>Short description of the main features of the Power monitoring system:</t>
  </si>
  <si>
    <t>CHOSEN</t>
  </si>
  <si>
    <t>No evidence required at this submission stage</t>
  </si>
  <si>
    <t>Which systems?</t>
  </si>
  <si>
    <t>E-3 Strategy A</t>
  </si>
  <si>
    <t>E-3 Strategy B</t>
  </si>
  <si>
    <t>Provide drinking water filtration system to avoid the use of plastic bottled water</t>
  </si>
  <si>
    <t>Details (if other filter types)</t>
  </si>
  <si>
    <t>As-built schematic mechanical drawings showing fresh air supply rates</t>
  </si>
  <si>
    <t>% of occupied area compliant</t>
  </si>
  <si>
    <t>H-3 Strategy D</t>
  </si>
  <si>
    <t>H-3 Strategy C</t>
  </si>
  <si>
    <t>Compliant Green cleaning?</t>
  </si>
  <si>
    <t>H-8 Strategy B</t>
  </si>
  <si>
    <t>H-8 Strategy A</t>
  </si>
  <si>
    <t>In case the interior project space has only one or no solar exposures, only provide control zones for areas with different usage/occupancy needs</t>
  </si>
  <si>
    <t>8. Submissions</t>
  </si>
  <si>
    <t>Strategies to reduce the generation of waste (if any)</t>
  </si>
  <si>
    <t>Minimum TAC to supply to the occupied spaces</t>
  </si>
  <si>
    <t>H-4 Option A</t>
  </si>
  <si>
    <t>H-4 Option B</t>
  </si>
  <si>
    <t>This option is not applicable if the ductwork is new or if the project space is not served by supply air ductwork.</t>
  </si>
  <si>
    <t>Compliant air supply ductwork cleaning?</t>
  </si>
  <si>
    <t xml:space="preserve">City </t>
  </si>
  <si>
    <t>Project ID (when registered)</t>
  </si>
  <si>
    <t>PROJECT GENERAL INFORMATION</t>
  </si>
  <si>
    <t>SUBMISSION STAGE</t>
  </si>
  <si>
    <t>Project typologies</t>
  </si>
  <si>
    <r>
      <t>GFA (m</t>
    </r>
    <r>
      <rPr>
        <vertAlign val="superscript"/>
        <sz val="11"/>
        <rFont val="Arial"/>
        <family val="2"/>
      </rPr>
      <t>2</t>
    </r>
    <r>
      <rPr>
        <sz val="11"/>
        <rFont val="Arial"/>
        <family val="2"/>
      </rPr>
      <t>)</t>
    </r>
  </si>
  <si>
    <t>PROJECT TEAM</t>
  </si>
  <si>
    <t>Architect</t>
  </si>
  <si>
    <t>M&amp;E Engineer</t>
  </si>
  <si>
    <t>Project Manager</t>
  </si>
  <si>
    <t>Other (precise)</t>
  </si>
  <si>
    <t>Applicant</t>
  </si>
  <si>
    <t>Address of project</t>
  </si>
  <si>
    <t>PROJECT SPACE INFORMATION</t>
  </si>
  <si>
    <t>PROJECT SYSTEMS AND EQUIPMENT</t>
  </si>
  <si>
    <t>APPLICANT INFORMATION</t>
  </si>
  <si>
    <t>Applicant Representative</t>
  </si>
  <si>
    <t>PROJECT DESCRIPTION</t>
  </si>
  <si>
    <t>Description of the project</t>
  </si>
  <si>
    <t>1. LOTUS Interiors Scope</t>
  </si>
  <si>
    <t xml:space="preserve">To be eligible for LOTUS Interiors, projects must meet the 5 following Eligibility Rules: </t>
  </si>
  <si>
    <t>An environmentally friendly waste management system should be developed.</t>
  </si>
  <si>
    <t>WP-3 Strategy A</t>
  </si>
  <si>
    <t>WP-3 Strategy B</t>
  </si>
  <si>
    <t>The storage area may be provided in the interior project design or provided in the base building.</t>
  </si>
  <si>
    <t>If the storage area is provided in the base building, it should be accessible to all tenants and sized based on the total gross floor area of the building.</t>
  </si>
  <si>
    <r>
      <rPr>
        <i/>
        <sz val="10"/>
        <color rgb="FF4A562A"/>
        <rFont val="Arial"/>
        <family val="2"/>
      </rPr>
      <t>Table WP.4</t>
    </r>
    <r>
      <rPr>
        <i/>
        <sz val="10"/>
        <rFont val="Arial"/>
        <family val="2"/>
      </rPr>
      <t xml:space="preserve">: Dedicated Recycling Storage Area Size Requirements </t>
    </r>
  </si>
  <si>
    <t xml:space="preserve">Provide a sufficiently sized dedicated recycling storage area with recycling bins for the collection, separation and storage of recyclables. </t>
  </si>
  <si>
    <t>Size of the dedicated recycling storage area:</t>
  </si>
  <si>
    <t>If the storage area is smaller than the size required by Table WP.4, justify that the size of the storage area is sufficient:</t>
  </si>
  <si>
    <t>Required:</t>
  </si>
  <si>
    <t>Provide quality views to the occupied areas.</t>
  </si>
  <si>
    <t>Lighting control</t>
  </si>
  <si>
    <t>Lighting fixtures 
installed</t>
  </si>
  <si>
    <r>
      <t xml:space="preserve">• </t>
    </r>
    <r>
      <rPr>
        <sz val="10"/>
        <rFont val="Arial"/>
        <family val="2"/>
      </rPr>
      <t xml:space="preserve">install a manual switch to control the lights independently of the general area lighting </t>
    </r>
  </si>
  <si>
    <t>Skylit daylit area</t>
  </si>
  <si>
    <t xml:space="preserve">Sidelit daylit area </t>
  </si>
  <si>
    <t xml:space="preserve">Install lighting control devices for the lighting fixtures located in potentially day-lit areas </t>
  </si>
  <si>
    <r>
      <t xml:space="preserve">• </t>
    </r>
    <r>
      <rPr>
        <sz val="10"/>
        <rFont val="Arial"/>
        <family val="2"/>
      </rPr>
      <t>install photosensors to automatically dim lights depending on the level of natural illuminance received.</t>
    </r>
  </si>
  <si>
    <r>
      <t xml:space="preserve">• </t>
    </r>
    <r>
      <rPr>
        <sz val="10"/>
        <rFont val="Arial"/>
        <family val="2"/>
      </rPr>
      <t>install photosensors to automatically switch lights off when natural light measured by the sensors is beyond the standard preset level for the occupant space (e.g. 300 lux for offices)</t>
    </r>
  </si>
  <si>
    <t>For each potentially daylit area, complete the table below with the information on the lighting equipment located in the potentially daylit areas.</t>
  </si>
  <si>
    <t>Position of the photosensor (if any)</t>
  </si>
  <si>
    <t>Occupancy sensors installed?</t>
  </si>
  <si>
    <t>Occupancy sensors prioritised?</t>
  </si>
  <si>
    <t>Photosensors shall be positioned at half the depth of potentially daylit areas.
If some occupancy sensors are installed, they shall be prioritized over photosensors for lighting control.</t>
  </si>
  <si>
    <t>Compliant controls for daylit areas?</t>
  </si>
  <si>
    <t>Plant unit number</t>
  </si>
  <si>
    <t>Environmentally friendly cleaning products are less hazardous and less toxic cleaning products.</t>
  </si>
  <si>
    <r>
      <rPr>
        <sz val="11"/>
        <rFont val="Arial"/>
        <family val="2"/>
      </rPr>
      <t>•</t>
    </r>
    <r>
      <rPr>
        <sz val="10"/>
        <rFont val="Arial"/>
        <family val="2"/>
      </rPr>
      <t xml:space="preserve"> Green Specifications from EPD Hong Kong</t>
    </r>
  </si>
  <si>
    <t>Cleaning product type</t>
  </si>
  <si>
    <r>
      <rPr>
        <sz val="10"/>
        <rFont val="Calibri"/>
        <family val="2"/>
      </rPr>
      <t>•</t>
    </r>
    <r>
      <rPr>
        <sz val="10"/>
        <rFont val="Arial"/>
        <family val="2"/>
      </rPr>
      <t xml:space="preserve"> Safer Choice (US EPA)</t>
    </r>
  </si>
  <si>
    <r>
      <rPr>
        <sz val="10"/>
        <rFont val="Calibri"/>
        <family val="2"/>
      </rPr>
      <t>•</t>
    </r>
    <r>
      <rPr>
        <sz val="10"/>
        <rFont val="Arial"/>
        <family val="2"/>
      </rPr>
      <t xml:space="preserve"> Singapore Green Labelling Scheme</t>
    </r>
  </si>
  <si>
    <r>
      <rPr>
        <sz val="10"/>
        <rFont val="Calibri"/>
        <family val="2"/>
      </rPr>
      <t>•</t>
    </r>
    <r>
      <rPr>
        <sz val="10"/>
        <rFont val="Arial"/>
        <family val="2"/>
      </rPr>
      <t xml:space="preserve"> Green Seal</t>
    </r>
  </si>
  <si>
    <t>Strategy D: Glare</t>
  </si>
  <si>
    <t>Lighting fixture name</t>
  </si>
  <si>
    <t>Quantity of fixtures</t>
  </si>
  <si>
    <t>Exception?</t>
  </si>
  <si>
    <t>Percentage of light sources with CRI higher than 80 (%)</t>
  </si>
  <si>
    <t xml:space="preserve">Conduct a post-occupancy comfort survey of building occupants within 3 to 6 months after occupancy. </t>
  </si>
  <si>
    <t>Number of responses received</t>
  </si>
  <si>
    <t>1
Very Bad</t>
  </si>
  <si>
    <t>2
Bad</t>
  </si>
  <si>
    <t>3
Satisfactory</t>
  </si>
  <si>
    <t>4
Good</t>
  </si>
  <si>
    <t>5
Excellent</t>
  </si>
  <si>
    <t>Comfort Category</t>
  </si>
  <si>
    <t>Thermal Comfort</t>
  </si>
  <si>
    <t>Air Temperature</t>
  </si>
  <si>
    <t>Humidity</t>
  </si>
  <si>
    <t>Air speed</t>
  </si>
  <si>
    <t>Air odour</t>
  </si>
  <si>
    <t>Exterior noise</t>
  </si>
  <si>
    <t>Interior noise</t>
  </si>
  <si>
    <t>Overall Comfort</t>
  </si>
  <si>
    <t>Lighting Comfort</t>
  </si>
  <si>
    <t>This survey should collect anonymous responses about thermal comfort, air quality, lighting comfort and acoustic comfort in interior spaces.</t>
  </si>
  <si>
    <t>Compliant post-occupancy comfort?</t>
  </si>
  <si>
    <t>Average overall satisfaction</t>
  </si>
  <si>
    <t>Enter the number of respondants who ticked the different cells below:</t>
  </si>
  <si>
    <t>If occupants’ average overall satisfaction score from the post-occupancy survey is less than 3 out of 5, develop an action plan based on the responses.</t>
  </si>
  <si>
    <t>Lighting level</t>
  </si>
  <si>
    <t>Glare</t>
  </si>
  <si>
    <t>Option A: Long-term lease</t>
  </si>
  <si>
    <t>Strategy A: Bicycle friendly</t>
  </si>
  <si>
    <t>Strategy B: Public transportation</t>
  </si>
  <si>
    <t>Strategy C: Private buses</t>
  </si>
  <si>
    <t xml:space="preserve">Strategy D: Electric vehicle charging stations  </t>
  </si>
  <si>
    <t>Strategy E: Green transportation program</t>
  </si>
  <si>
    <t>Provide and display occupants with information on the different collective transportation means to travel to and from the building</t>
  </si>
  <si>
    <t xml:space="preserve">Provide and display collective transportation information for occupants including routes and schedules in an obvious and accessible location. </t>
  </si>
  <si>
    <t>In which location?</t>
  </si>
  <si>
    <t>Compliant collective transportation information?</t>
  </si>
  <si>
    <t>Provide occupants with access to covered and secured bicycle parking spaces, shower facilities and lockers/personal storage space</t>
  </si>
  <si>
    <t>Bicycle friendly compliant?</t>
  </si>
  <si>
    <t>Number of routes served</t>
  </si>
  <si>
    <t>Public transportation service</t>
  </si>
  <si>
    <t>Public transportation services include: (proposed) metro stations and bus stops.</t>
  </si>
  <si>
    <t>Compliant public transportation?</t>
  </si>
  <si>
    <t>Walking distance from building (m)</t>
  </si>
  <si>
    <t>Project space is located within a 500 m walking distance from one public transportation route OR within a 700 m walking distance of 2 different public transportation routes</t>
  </si>
  <si>
    <t>LT-3 Strategy A</t>
  </si>
  <si>
    <t>LT-3 Strategy B</t>
  </si>
  <si>
    <t xml:space="preserve">Provide private buses that are able to accommodate 10% of total project occupants </t>
  </si>
  <si>
    <t>For each day, private buses shall be provided with the capacity to transport 10% or more of the total number of building occupants (full-time occupants or transients).</t>
  </si>
  <si>
    <t xml:space="preserve">The number of buses circulating at a given time shall be based on the occupancy with more buses available during peak travel periods. </t>
  </si>
  <si>
    <t>Total number of occupants of the day</t>
  </si>
  <si>
    <t xml:space="preserve">Number of bus seats provided </t>
  </si>
  <si>
    <t>Minivans with at least 8 seats can be used instead of buses.</t>
  </si>
  <si>
    <t>Typical day</t>
  </si>
  <si>
    <t>Compliant provision of private buses?</t>
  </si>
  <si>
    <t>LT-3 Strategy C</t>
  </si>
  <si>
    <t>Air cooled chiller</t>
  </si>
  <si>
    <t>Water cooled chiller (reciprocating)</t>
  </si>
  <si>
    <t>Water cooled chiller (screw and scroll)</t>
  </si>
  <si>
    <t>Water cooled chiller (centrifugal)</t>
  </si>
  <si>
    <t>&lt; 528 kW</t>
  </si>
  <si>
    <t>&gt;= 528 kW to &lt; 1055 kW</t>
  </si>
  <si>
    <r>
      <t>&gt;=</t>
    </r>
    <r>
      <rPr>
        <sz val="10"/>
        <color theme="1"/>
        <rFont val="Arial"/>
        <family val="2"/>
      </rPr>
      <t xml:space="preserve"> 1055 kW</t>
    </r>
  </si>
  <si>
    <r>
      <rPr>
        <sz val="10"/>
        <color theme="1"/>
        <rFont val="Calibri"/>
        <family val="2"/>
      </rPr>
      <t>≥</t>
    </r>
    <r>
      <rPr>
        <sz val="10"/>
        <color theme="1"/>
        <rFont val="Arial"/>
        <family val="2"/>
      </rPr>
      <t xml:space="preserve"> 528 kW to &lt; 1055 kW</t>
    </r>
  </si>
  <si>
    <r>
      <rPr>
        <sz val="10"/>
        <color theme="1"/>
        <rFont val="Calibri"/>
        <family val="2"/>
      </rPr>
      <t>≥</t>
    </r>
    <r>
      <rPr>
        <sz val="10"/>
        <color theme="1"/>
        <rFont val="Arial"/>
        <family val="2"/>
      </rPr>
      <t xml:space="preserve"> 1055 kW</t>
    </r>
  </si>
  <si>
    <t>//</t>
  </si>
  <si>
    <t>///</t>
  </si>
  <si>
    <t>&lt;&lt; 528 kW</t>
  </si>
  <si>
    <t>COP improvement for direct electric air-conditioners (%)</t>
  </si>
  <si>
    <t>COP improvement for chillers (%)</t>
  </si>
  <si>
    <t>For direct electric air-conditioners:</t>
  </si>
  <si>
    <t>Average COP of proposed air-conditioners</t>
  </si>
  <si>
    <t xml:space="preserve">Average EEBC minimum COP </t>
  </si>
  <si>
    <t>For chillers:</t>
  </si>
  <si>
    <t>Average COP of proposed chillers</t>
  </si>
  <si>
    <t>Direct AC or chiller</t>
  </si>
  <si>
    <t>Direct AC COP</t>
  </si>
  <si>
    <t>Direct AC cooling capacity</t>
  </si>
  <si>
    <t>chiller COP</t>
  </si>
  <si>
    <t>chiller cooling capacity</t>
  </si>
  <si>
    <t>Direct AC EEBC</t>
  </si>
  <si>
    <t>chiller EEBC</t>
  </si>
  <si>
    <t>Variable speed control strategies</t>
  </si>
  <si>
    <t>HVAC systems</t>
  </si>
  <si>
    <t>Compliant variable speed controls ?</t>
  </si>
  <si>
    <r>
      <rPr>
        <b/>
        <sz val="10"/>
        <rFont val="Calibri"/>
        <family val="2"/>
      </rPr>
      <t>→</t>
    </r>
    <r>
      <rPr>
        <b/>
        <sz val="10"/>
        <rFont val="Arial"/>
        <family val="2"/>
      </rPr>
      <t xml:space="preserve"> </t>
    </r>
    <r>
      <rPr>
        <b/>
        <u/>
        <sz val="10"/>
        <rFont val="Arial"/>
        <family val="2"/>
      </rPr>
      <t>Demand control ventilation</t>
    </r>
    <r>
      <rPr>
        <b/>
        <sz val="10"/>
        <rFont val="Arial"/>
        <family val="2"/>
      </rPr>
      <t>:</t>
    </r>
  </si>
  <si>
    <r>
      <rPr>
        <b/>
        <sz val="10"/>
        <rFont val="Calibri"/>
        <family val="2"/>
      </rPr>
      <t>→</t>
    </r>
    <r>
      <rPr>
        <b/>
        <sz val="10"/>
        <rFont val="Arial"/>
        <family val="2"/>
      </rPr>
      <t xml:space="preserve"> </t>
    </r>
    <r>
      <rPr>
        <b/>
        <u/>
        <sz val="10"/>
        <rFont val="Arial"/>
        <family val="2"/>
      </rPr>
      <t>Variable speed control</t>
    </r>
    <r>
      <rPr>
        <b/>
        <sz val="10"/>
        <rFont val="Arial"/>
        <family val="2"/>
      </rPr>
      <t>:</t>
    </r>
  </si>
  <si>
    <t>Office</t>
  </si>
  <si>
    <t>Hotel</t>
  </si>
  <si>
    <t>School</t>
  </si>
  <si>
    <t>Residential</t>
  </si>
  <si>
    <t>Separate spaces</t>
  </si>
  <si>
    <t>Number of control device installed</t>
  </si>
  <si>
    <t>Space type</t>
  </si>
  <si>
    <t>For each potentially daylit area, comply with at least one of the three following requirements:</t>
  </si>
  <si>
    <t xml:space="preserve">Every space enclosed with ceiling-height partitions is a separate space.  </t>
  </si>
  <si>
    <t>• All separate spaces must have at least one lighting control device (actuated manually or by automatic sensor).</t>
  </si>
  <si>
    <r>
      <t>• Each control device must cover a maximum floor area of 100 m</t>
    </r>
    <r>
      <rPr>
        <vertAlign val="superscript"/>
        <sz val="10"/>
        <rFont val="Arial"/>
        <family val="2"/>
      </rPr>
      <t>2</t>
    </r>
  </si>
  <si>
    <t>Requirements</t>
  </si>
  <si>
    <t>Recommendations</t>
  </si>
  <si>
    <t>Careful</t>
  </si>
  <si>
    <t>Symbols used in the tool:</t>
  </si>
  <si>
    <r>
      <rPr>
        <i/>
        <sz val="10"/>
        <color rgb="FF58AB27"/>
        <rFont val="Arial"/>
        <family val="2"/>
      </rPr>
      <t>Table E.1</t>
    </r>
    <r>
      <rPr>
        <i/>
        <sz val="10"/>
        <rFont val="Arial"/>
        <family val="2"/>
      </rPr>
      <t>: Minimum COP requirements for direct electric air conditioners (VBEEC Table 2.6)</t>
    </r>
  </si>
  <si>
    <r>
      <rPr>
        <i/>
        <sz val="10"/>
        <color rgb="FF58AB27"/>
        <rFont val="Arial"/>
        <family val="2"/>
      </rPr>
      <t>Table E.2</t>
    </r>
    <r>
      <rPr>
        <i/>
        <sz val="10"/>
        <rFont val="Arial"/>
        <family val="2"/>
      </rPr>
      <t>: Minimum COP Requirements for chillers (VBEEC Table 2.7)</t>
    </r>
  </si>
  <si>
    <r>
      <t>Maximum LPD (W/m</t>
    </r>
    <r>
      <rPr>
        <vertAlign val="superscript"/>
        <sz val="10"/>
        <color rgb="FFFFFFFF"/>
        <rFont val="Arial"/>
        <family val="2"/>
      </rPr>
      <t>2</t>
    </r>
    <r>
      <rPr>
        <sz val="10"/>
        <color rgb="FFFFFFFF"/>
        <rFont val="Arial"/>
        <family val="2"/>
      </rPr>
      <t>)</t>
    </r>
  </si>
  <si>
    <t>Hospital</t>
  </si>
  <si>
    <t>Retail</t>
  </si>
  <si>
    <t>Enclosed, in-house, basement car parks</t>
  </si>
  <si>
    <t xml:space="preserve">Outdoor or open (roofed only) car parks </t>
  </si>
  <si>
    <r>
      <rPr>
        <sz val="11"/>
        <rFont val="Symbol"/>
        <family val="1"/>
        <charset val="2"/>
      </rPr>
      <t>®</t>
    </r>
    <r>
      <rPr>
        <sz val="11"/>
        <rFont val="Calibri"/>
        <family val="2"/>
      </rPr>
      <t xml:space="preserve"> </t>
    </r>
    <r>
      <rPr>
        <sz val="11"/>
        <rFont val="Calibri"/>
        <family val="2"/>
        <scheme val="minor"/>
      </rPr>
      <t xml:space="preserve">Users should refer to the LOTUS Interiors Technical Manual to find more information. </t>
    </r>
  </si>
  <si>
    <t>• Specifying high efficiency lighting fixtures (fluorescent T5, LED...) and ballasts</t>
  </si>
  <si>
    <t>• Design the lighting so as to have the proper illuminance levels</t>
  </si>
  <si>
    <t>• Select interior walls and ceilings with high reflective qualities</t>
  </si>
  <si>
    <t>Lighting power associated with the use of artificial lighting systems can be reduced in the following way:</t>
  </si>
  <si>
    <t>• Use reflector lamps or build reflectors into luminaires</t>
  </si>
  <si>
    <t>LOTUS will consider as energy efficient appliances, all the appliances that are certified (or can demonstrate equivalent performance) under the following labels:</t>
  </si>
  <si>
    <t xml:space="preserve">• Other labels may be accepted under VGBC approval. </t>
  </si>
  <si>
    <t>Plug load controls installed should be automatic control devices that function either on:</t>
  </si>
  <si>
    <t>• or, a signal from another control or alarm system that indicates the area is unoccupied</t>
  </si>
  <si>
    <t>• an occupant sensor that shall turn receptacles off within 30 minutes of all occupants leaving a space;</t>
  </si>
  <si>
    <t>Pourcentage of appliances installed with an energy efficiency label (%)</t>
  </si>
  <si>
    <t>Project Space type</t>
  </si>
  <si>
    <t>Other types</t>
  </si>
  <si>
    <t>Type of Buildings/spaces</t>
  </si>
  <si>
    <t>Type 1</t>
  </si>
  <si>
    <t>Type 2</t>
  </si>
  <si>
    <t>Type 3</t>
  </si>
  <si>
    <r>
      <t>Gross Lighted Floor Area of the space type (m</t>
    </r>
    <r>
      <rPr>
        <vertAlign val="superscript"/>
        <sz val="10"/>
        <color theme="0"/>
        <rFont val="Arial"/>
        <family val="2"/>
      </rPr>
      <t>2</t>
    </r>
    <r>
      <rPr>
        <sz val="10"/>
        <color theme="0"/>
        <rFont val="Arial"/>
        <family val="2"/>
      </rPr>
      <t>)</t>
    </r>
  </si>
  <si>
    <t>Type 4</t>
  </si>
  <si>
    <r>
      <t>Lighting Power Density of the project space (W/m</t>
    </r>
    <r>
      <rPr>
        <vertAlign val="superscript"/>
        <sz val="11"/>
        <color theme="0"/>
        <rFont val="Arial"/>
        <family val="2"/>
      </rPr>
      <t>2</t>
    </r>
    <r>
      <rPr>
        <sz val="11"/>
        <color theme="0"/>
        <rFont val="Arial"/>
        <family val="2"/>
      </rPr>
      <t>)</t>
    </r>
  </si>
  <si>
    <r>
      <t>Maximum Lighting Power Density (W/m</t>
    </r>
    <r>
      <rPr>
        <vertAlign val="superscript"/>
        <sz val="11"/>
        <color theme="0"/>
        <rFont val="Arial"/>
        <family val="2"/>
      </rPr>
      <t>2</t>
    </r>
    <r>
      <rPr>
        <sz val="11"/>
        <color theme="0"/>
        <rFont val="Arial"/>
        <family val="2"/>
      </rPr>
      <t>)</t>
    </r>
  </si>
  <si>
    <t>Lighting Power Density reduction (%)</t>
  </si>
  <si>
    <t xml:space="preserve">Task lights provide local lighting of a specific area by bringing the light source closer to the task. </t>
  </si>
  <si>
    <t>This strategy is only available for office spaces.</t>
  </si>
  <si>
    <t xml:space="preserve">For every desk or workstation, supplementary task lighting luminaires should be provided.
The task lighting luminaires should allow the occupant some degree of control, both of light output (switching or dimming) and position. </t>
  </si>
  <si>
    <t>Total number of workstations</t>
  </si>
  <si>
    <t>Number of task lighting luminaires</t>
  </si>
  <si>
    <t>Compliant task lighting?</t>
  </si>
  <si>
    <t>Compliant main switch or scheduling?</t>
  </si>
  <si>
    <t>Has the project space installed a master main switch?</t>
  </si>
  <si>
    <t>Has the project space installed a scheduling control?</t>
  </si>
  <si>
    <t>If yes, is it located next to the main staff entry for the project space?</t>
  </si>
  <si>
    <t>If yes, are there some localized override control where needed?</t>
  </si>
  <si>
    <t xml:space="preserve">
Average Refrigerant Atmospheric Impact of all the air-conditioning systems installed in the building is below 11</t>
  </si>
  <si>
    <t>To reduce the refrigerant atmospheric impact of air-conditioning, commercial refrigeration and heat pump systems, 2 of the following strategies must be implemented:</t>
  </si>
  <si>
    <t>Air-conditioning System</t>
  </si>
  <si>
    <t>DX used</t>
  </si>
  <si>
    <t>This option is only applicable for projects which installed commercial refrigeration systems. Commercial refrigeration equipment includes the following:</t>
  </si>
  <si>
    <t>• If the project includes some commercial refrigeration systems, the project shall meet the requirements of at least one strategy of the Option C to be eligible for points under option B.</t>
  </si>
  <si>
    <t>• Only HVAC systems installed by the project and serving the project space can be considered in this strategy.</t>
  </si>
  <si>
    <r>
      <t xml:space="preserve">• </t>
    </r>
    <r>
      <rPr>
        <b/>
        <sz val="10"/>
        <rFont val="Arial"/>
        <family val="2"/>
      </rPr>
      <t>No centralized direct expansion systems is used</t>
    </r>
    <r>
      <rPr>
        <sz val="10"/>
        <rFont val="Arial"/>
        <family val="2"/>
      </rPr>
      <t xml:space="preserve">. Such systems are discouraged as they have higher refrigerant charge and higher leakage rate. </t>
    </r>
  </si>
  <si>
    <r>
      <t xml:space="preserve">• </t>
    </r>
    <r>
      <rPr>
        <b/>
        <sz val="10"/>
        <rFont val="Arial"/>
        <family val="2"/>
      </rPr>
      <t>All the refrigerants have a GWP</t>
    </r>
    <r>
      <rPr>
        <b/>
        <vertAlign val="subscript"/>
        <sz val="10"/>
        <rFont val="Arial"/>
        <family val="2"/>
      </rPr>
      <t>100</t>
    </r>
    <r>
      <rPr>
        <b/>
        <sz val="10"/>
        <rFont val="Arial"/>
        <family val="2"/>
      </rPr>
      <t xml:space="preserve"> below 2000 and an ODP ≤ 0.02</t>
    </r>
    <r>
      <rPr>
        <sz val="10"/>
        <rFont val="Arial"/>
        <family val="2"/>
      </rPr>
      <t>. Refrigerants like the R404A, still commonly used but with a high GWP</t>
    </r>
    <r>
      <rPr>
        <vertAlign val="subscript"/>
        <sz val="10"/>
        <rFont val="Arial"/>
        <family val="2"/>
      </rPr>
      <t>100</t>
    </r>
    <r>
      <rPr>
        <sz val="10"/>
        <rFont val="Arial"/>
        <family val="2"/>
      </rPr>
      <t xml:space="preserve"> (3943 under IPCC fifth assessment) should be discouraged as many alternatives from other HFCs (such as R134a, R407A...) to HFOs exist.</t>
    </r>
  </si>
  <si>
    <r>
      <t>•</t>
    </r>
    <r>
      <rPr>
        <b/>
        <sz val="10"/>
        <rFont val="Arial"/>
        <family val="2"/>
      </rPr>
      <t xml:space="preserve"> 50% (by mass) of the total refrigerant charge of commercial refrigeration equipment are natural refrigerants or HFOs.</t>
    </r>
    <r>
      <rPr>
        <sz val="10"/>
        <rFont val="Arial"/>
        <family val="2"/>
      </rPr>
      <t xml:space="preserve"> 
Natural refrigerants should be used in as many systems as possible; they have extremely low GWP</t>
    </r>
    <r>
      <rPr>
        <vertAlign val="subscript"/>
        <sz val="10"/>
        <rFont val="Arial"/>
        <family val="2"/>
      </rPr>
      <t>100</t>
    </r>
    <r>
      <rPr>
        <sz val="10"/>
        <rFont val="Arial"/>
        <family val="2"/>
      </rPr>
      <t xml:space="preserve"> values and can be used efficiently for heat pumps (with CO2) and for commercial refrigeration in configurations such as cascade or indirect systems (with CO2, propane, etc.).</t>
    </r>
  </si>
  <si>
    <r>
      <t xml:space="preserve">• </t>
    </r>
    <r>
      <rPr>
        <b/>
        <sz val="10"/>
        <rFont val="Arial"/>
        <family val="2"/>
      </rPr>
      <t>An indirect (secondary) commercial refrigeration system is installed</t>
    </r>
    <r>
      <rPr>
        <sz val="10"/>
        <rFont val="Arial"/>
        <family val="2"/>
      </rPr>
      <t xml:space="preserve">. Indirect (also called secondary loop) systems are systems that use a chiller to cool a secondary fluid that is then circulated throughout the building to the cases and coolers. With a much lower refrigerant charge, these systems are effective to limit the warming impact of commercial refrigeration. </t>
    </r>
  </si>
  <si>
    <t>E-2 Strategy A</t>
  </si>
  <si>
    <t>E-2 Strategy B</t>
  </si>
  <si>
    <t>E-2 Strategy D</t>
  </si>
  <si>
    <t>E-2 Strategy C</t>
  </si>
  <si>
    <t xml:space="preserve">• Photographs showing the “no smoking” signs </t>
  </si>
  <si>
    <t xml:space="preserve">• Photographs showing the designated smoking areas </t>
  </si>
  <si>
    <t>Light output control?</t>
  </si>
  <si>
    <t>Complete the table below with information on the lighting controls installed in all the separate spaces of the project:</t>
  </si>
  <si>
    <t>Compliant lighting controls?</t>
  </si>
  <si>
    <t xml:space="preserve">• Conference rooms and passageways in office buildings, hotels, schools and residential buildings must have occupancy or vacancy sensors to control the lighting system. </t>
  </si>
  <si>
    <t xml:space="preserve">Occupancy and vacancy sensors shall not be connected to the exit lighting and security lighting systems. </t>
  </si>
  <si>
    <t>Type of control device installed</t>
  </si>
  <si>
    <t>Select and install energy efficient equipment and appliances in the interior project space.</t>
  </si>
  <si>
    <t>Individual meters should be permanently installed to monitor the energy consumption of separate floors and of the following energy end-uses:</t>
  </si>
  <si>
    <t xml:space="preserve">• Artificial lighting </t>
  </si>
  <si>
    <t>The power monitoring system should meet the following requirements:</t>
  </si>
  <si>
    <t>Reply to the questions below.</t>
  </si>
  <si>
    <t>Has a power monitoring system that meet the following requirements been installed?</t>
  </si>
  <si>
    <t>Complete the table below with information on the different space types in the project. 
For projects with only one space type, only fill information under Type 1. For mixed-use project space, complete the information for all the different space types.</t>
  </si>
  <si>
    <t>Reply to the questions below:</t>
  </si>
  <si>
    <t>Complete the information below:</t>
  </si>
  <si>
    <t>A drinking water filtration system including filters such as sediment filters, reverse-osmosis filters and activated carbon filters is advised.</t>
  </si>
  <si>
    <t>Reply to all the questions below:</t>
  </si>
  <si>
    <r>
      <t>• At least, permanent CO</t>
    </r>
    <r>
      <rPr>
        <vertAlign val="subscript"/>
        <sz val="10"/>
        <rFont val="Arial"/>
        <family val="2"/>
      </rPr>
      <t>2</t>
    </r>
    <r>
      <rPr>
        <sz val="10"/>
        <rFont val="Arial"/>
        <family val="2"/>
      </rPr>
      <t xml:space="preserve"> sensors should be installed in all the high density occupied areas (areas with at least 1 person for 3 m</t>
    </r>
    <r>
      <rPr>
        <vertAlign val="superscript"/>
        <sz val="10"/>
        <rFont val="Arial"/>
        <family val="2"/>
      </rPr>
      <t>2</t>
    </r>
    <r>
      <rPr>
        <sz val="10"/>
        <rFont val="Arial"/>
        <family val="2"/>
      </rPr>
      <t>)</t>
    </r>
  </si>
  <si>
    <r>
      <t>• One of the two following CO</t>
    </r>
    <r>
      <rPr>
        <vertAlign val="subscript"/>
        <sz val="10"/>
        <rFont val="Arial"/>
        <family val="2"/>
      </rPr>
      <t>2</t>
    </r>
    <r>
      <rPr>
        <sz val="10"/>
        <rFont val="Arial"/>
        <family val="2"/>
      </rPr>
      <t xml:space="preserve"> monitoring techniques should be applied:</t>
    </r>
  </si>
  <si>
    <t xml:space="preserve">• To meet LOTUS requirements on flush-out, comply with one of the two following options: </t>
  </si>
  <si>
    <t>- Post-construction, Pre-occupancy flush-out</t>
  </si>
  <si>
    <t>- Post-construction, Pre-occupancy/Post-occupancy flush-out</t>
  </si>
  <si>
    <t>The TAC value is calculated as the minimum fresh air supply rate (cf credit H-1) during a period of 14 days.</t>
  </si>
  <si>
    <t xml:space="preserve"> Complete the information below on the flush-out procedure:</t>
  </si>
  <si>
    <r>
      <t>Area (m</t>
    </r>
    <r>
      <rPr>
        <vertAlign val="superscript"/>
        <sz val="10"/>
        <color indexed="9"/>
        <rFont val="Arial"/>
        <family val="2"/>
      </rPr>
      <t>2</t>
    </r>
    <r>
      <rPr>
        <sz val="10"/>
        <color indexed="9"/>
        <rFont val="Arial"/>
        <family val="2"/>
      </rPr>
      <t>)</t>
    </r>
  </si>
  <si>
    <t>When monitoring large open spaces with largely uniform concentration levels, it is also acceptable to mount sensors in return air ducts.</t>
  </si>
  <si>
    <r>
      <t>• For both techniques, CO</t>
    </r>
    <r>
      <rPr>
        <vertAlign val="subscript"/>
        <sz val="10"/>
        <rFont val="Arial"/>
        <family val="2"/>
      </rPr>
      <t>2</t>
    </r>
    <r>
      <rPr>
        <sz val="10"/>
        <rFont val="Arial"/>
        <family val="2"/>
      </rPr>
      <t xml:space="preserve"> sensors should be installed in a sufficient number and located between 1 and 2 meters above the finished floor (breathing zone). </t>
    </r>
  </si>
  <si>
    <t xml:space="preserve">Number of occupants </t>
  </si>
  <si>
    <t>Provide access to at least 3 facilities/amenities for the project occupants</t>
  </si>
  <si>
    <t>Provide access to facilities and amenities for the project occupants.</t>
  </si>
  <si>
    <t>Option B: Green lease</t>
  </si>
  <si>
    <t>Name of the base building</t>
  </si>
  <si>
    <t>Calculations are based on the cost of furniture products.</t>
  </si>
  <si>
    <r>
      <rPr>
        <i/>
        <sz val="10"/>
        <color rgb="FF5F4970"/>
        <rFont val="Arial"/>
        <family val="2"/>
      </rPr>
      <t>Table M.2</t>
    </r>
    <r>
      <rPr>
        <i/>
        <sz val="10"/>
        <rFont val="Arial"/>
        <family val="2"/>
      </rPr>
      <t xml:space="preserve">: Sustainability factors of the different types of sustainable furniture products </t>
    </r>
  </si>
  <si>
    <t>Product sustainability factor</t>
  </si>
  <si>
    <t>• Copy of the LOTUS AP certificate</t>
  </si>
  <si>
    <t>An Operation &amp; Maintenance Manual should be produced.</t>
  </si>
  <si>
    <r>
      <rPr>
        <b/>
        <sz val="10"/>
        <rFont val="Arial"/>
        <family val="2"/>
      </rPr>
      <t>Strategy A: User guide</t>
    </r>
    <r>
      <rPr>
        <sz val="10"/>
        <rFont val="Arial"/>
        <family val="2"/>
      </rPr>
      <t xml:space="preserve">
Produce a User guide for occupants</t>
    </r>
  </si>
  <si>
    <t>Strategy A: User guide</t>
  </si>
  <si>
    <t xml:space="preserve">Strategy C: Green Awareness </t>
  </si>
  <si>
    <t>Strategy B: Green Training for occupants</t>
  </si>
  <si>
    <t>To meet the requirements of Option A, no CFC refrigerant or refrigerants with an ODP higher or equal to 0.05 should be installed in the project space and one of the following must be met:</t>
  </si>
  <si>
    <t xml:space="preserve">• All systems using refrigerants have less than 250 grams of refrigerant </t>
  </si>
  <si>
    <t>If yes:</t>
  </si>
  <si>
    <t>Select and install HVAC equipment whose COP values meet the minimum requirement values of Tables below.</t>
  </si>
  <si>
    <t xml:space="preserve">Use variable speed controls on all the air-conditioning systems to ensure better part-load systems efficiency.  </t>
  </si>
  <si>
    <t>Clean each area of the project space with environmentally friendly products.</t>
  </si>
  <si>
    <t>Perceived Air quality</t>
  </si>
  <si>
    <t>Air freshness</t>
  </si>
  <si>
    <t>Occupied spaces should have an average daylight factor between 1.5% and 3.5%</t>
  </si>
  <si>
    <t>• Light shelves (horizontal surfaces that reflect daylight deep into a building)</t>
  </si>
  <si>
    <t>Complete the table below with information on all the occupied rooms of the project space</t>
  </si>
  <si>
    <t>Complete the table below with information on all the interior plants incorporated in the project space:</t>
  </si>
  <si>
    <t>LT-PR-1 Green Transportation</t>
  </si>
  <si>
    <t>LT-4 Facilities and amenities</t>
  </si>
  <si>
    <t>LT-3 Green Transportation</t>
  </si>
  <si>
    <t>Complete the table below with information on the base building:</t>
  </si>
  <si>
    <t>Is the base building compliant with the following requirements?</t>
  </si>
  <si>
    <t>Please Precise:</t>
  </si>
  <si>
    <t>LT-1 Strategy B</t>
  </si>
  <si>
    <t>• do not exceed a concentration limit of 0.05 ppm of formaldehyde (0.06 mg/m2.h when expressed as emission rate) as tested following an internationally recognised standard</t>
  </si>
  <si>
    <t>Select paints and coatings with low-VOC content.</t>
  </si>
  <si>
    <t>All composite wood products compliant?</t>
  </si>
  <si>
    <t>Formaldehyde content of the product</t>
  </si>
  <si>
    <t>Composite wood products include plywood and all types of fibreboards: particle board, medium-density fibreboard (MDF) and hardboard.</t>
  </si>
  <si>
    <t xml:space="preserve">Type of composite wood </t>
  </si>
  <si>
    <t>Complete the table below with information on all the composite wood products used on the project:</t>
  </si>
  <si>
    <t>Select composite wood products with low formaldehyde emissions and select adhesives with no added urea-formaldehyde to fabricate assemblies.</t>
  </si>
  <si>
    <t>Adhesive used for assembly</t>
  </si>
  <si>
    <r>
      <t>Total floor area of the occupied spaces (m</t>
    </r>
    <r>
      <rPr>
        <vertAlign val="superscript"/>
        <sz val="10"/>
        <color theme="0"/>
        <rFont val="Arial"/>
        <family val="2"/>
      </rPr>
      <t>2</t>
    </r>
    <r>
      <rPr>
        <sz val="10"/>
        <color theme="0"/>
        <rFont val="Arial"/>
        <family val="2"/>
      </rPr>
      <t>)</t>
    </r>
  </si>
  <si>
    <r>
      <t>When occupancy is desired prior completion of the TAC, it is allowed for a space to be occupied after half of the TAC have been supplied to the space. Then, the space shall have a minimum fresh air supply rate of 1.5 L/s per m</t>
    </r>
    <r>
      <rPr>
        <vertAlign val="superscript"/>
        <sz val="10"/>
        <rFont val="Arial"/>
        <family val="2"/>
      </rPr>
      <t>2</t>
    </r>
    <r>
      <rPr>
        <sz val="10"/>
        <rFont val="Arial"/>
        <family val="2"/>
      </rPr>
      <t xml:space="preserve"> or the minimum design rate calculated in the H-1 credit, whichever is greater. These conditions shall be maintained until the TAC required have been supplied to the space. The flush-out shall be continuous.</t>
    </r>
  </si>
  <si>
    <t>TAC supplied to the occupied spaces before occupancy</t>
  </si>
  <si>
    <t>For option Pre-occupancy/Post-occupancy flush-out only:</t>
  </si>
  <si>
    <t>Post-occupancy fresh air supply rate (L/s)</t>
  </si>
  <si>
    <t>Pre-occupancy fresh air supply rate (L/s)</t>
  </si>
  <si>
    <t>Maximum flushrate [Lpf]</t>
  </si>
  <si>
    <r>
      <rPr>
        <sz val="12"/>
        <color indexed="9"/>
        <rFont val="Arial"/>
        <family val="2"/>
      </rPr>
      <t xml:space="preserve">Shower heads
</t>
    </r>
    <r>
      <rPr>
        <sz val="10"/>
        <color indexed="9"/>
        <rFont val="Arial"/>
        <family val="2"/>
      </rPr>
      <t>Fixture Name</t>
    </r>
  </si>
  <si>
    <t>• Shower heads with flowrate lower than (or equal to) 0.14 litres per second</t>
  </si>
  <si>
    <t>Complete the tables below with information on the sanitary ware fixtures installed by the project:</t>
  </si>
  <si>
    <t>Single Flush</t>
  </si>
  <si>
    <t>cef</t>
  </si>
  <si>
    <t xml:space="preserve">% Pre = percentage of pre-consumer recycled content by weight of the product </t>
  </si>
  <si>
    <t>% Post = percentage of post-consumer recycled content by weight of the product</t>
  </si>
  <si>
    <r>
      <rPr>
        <sz val="10"/>
        <color rgb="FF5F4970"/>
        <rFont val="Arial"/>
        <family val="2"/>
      </rPr>
      <t>Equation M.1</t>
    </r>
    <r>
      <rPr>
        <sz val="10"/>
        <rFont val="Arial"/>
        <family val="2"/>
      </rPr>
      <t xml:space="preserve">: Recycled Content [%] = % Post + 0.5 × % Pre </t>
    </r>
  </si>
  <si>
    <t>Product cost 
(VND)</t>
  </si>
  <si>
    <t>Cost of sustainable furniture products (VND)</t>
  </si>
  <si>
    <t>Total cost of furniture products (VND)</t>
  </si>
  <si>
    <t>Sustainable features of the furniture product</t>
  </si>
  <si>
    <t>Sustainable cost (VND)</t>
  </si>
  <si>
    <t>For 1 point, 15% of the total value of furniture products in the project are sustainable products
1 point for every additional 15% of the total value of furniture products in the project which are sustainable products (up to 60%)</t>
  </si>
  <si>
    <t>Select and install sustainable materials in the project</t>
  </si>
  <si>
    <t>Select and install sustainable furniture products in the project</t>
  </si>
  <si>
    <t>The different types of sustainable furniture products are appointed with different sustainability factors according to Table M.2.</t>
  </si>
  <si>
    <t>Calculations are based on the cost of materials.</t>
  </si>
  <si>
    <t>The different types of sustainable materials are appointed with different sustainability factors according to Table M.1.</t>
  </si>
  <si>
    <r>
      <rPr>
        <i/>
        <sz val="10"/>
        <color rgb="FF5F4970"/>
        <rFont val="Arial"/>
        <family val="2"/>
      </rPr>
      <t>Table M.1</t>
    </r>
    <r>
      <rPr>
        <i/>
        <sz val="10"/>
        <rFont val="Arial"/>
        <family val="2"/>
      </rPr>
      <t>: Sustainability factors of the different types of sustainable materials</t>
    </r>
  </si>
  <si>
    <t>Reused materials</t>
  </si>
  <si>
    <t>Cost of sustainable materials (VND)</t>
  </si>
  <si>
    <t>Total cost of materials (VND)</t>
  </si>
  <si>
    <t>Percentage of sustainable materials [%]</t>
  </si>
  <si>
    <t>Products with recycled content</t>
  </si>
  <si>
    <t>Products with reused components</t>
  </si>
  <si>
    <t>Products made with rapidly renewable materials</t>
  </si>
  <si>
    <t>% of rapidly renewable materials (by mass)</t>
  </si>
  <si>
    <t>Material cost 
(VND)</t>
  </si>
  <si>
    <t>Sustainable features of the material</t>
  </si>
  <si>
    <t>For 1 point, 15% of the total value of materials in the project are sustainable materials
1 point for every additional 5% of the total value of materials in the project that are sustainable materials 
(up to 60%)</t>
  </si>
  <si>
    <r>
      <t>• ODP is often used in conjunction with GWP</t>
    </r>
    <r>
      <rPr>
        <vertAlign val="subscript"/>
        <sz val="10"/>
        <rFont val="Arial"/>
        <family val="2"/>
      </rPr>
      <t>100</t>
    </r>
    <r>
      <rPr>
        <sz val="10"/>
        <rFont val="Arial"/>
        <family val="2"/>
      </rPr>
      <t xml:space="preserve"> as a measure of how environmentally detrimental a refrigerant can be.</t>
    </r>
  </si>
  <si>
    <t>WP-1 Option C</t>
  </si>
  <si>
    <t>WP-1 Option B</t>
  </si>
  <si>
    <t>WP-1 Option A</t>
  </si>
  <si>
    <r>
      <t xml:space="preserve"> Complete the table below with information on all the occupied rooms and the CO</t>
    </r>
    <r>
      <rPr>
        <i/>
        <vertAlign val="subscript"/>
        <sz val="10"/>
        <rFont val="Arial"/>
        <family val="2"/>
      </rPr>
      <t>2</t>
    </r>
    <r>
      <rPr>
        <i/>
        <sz val="10"/>
        <rFont val="Arial"/>
        <family val="2"/>
      </rPr>
      <t xml:space="preserve"> monitoring systems installed:</t>
    </r>
  </si>
  <si>
    <t xml:space="preserve"> Complete the tables below with information on all the air-conditioning and commercial refrigeration systems installed:</t>
  </si>
  <si>
    <t>Complete the table below with information on all the lighting fixtures included in the space (also including task lights)</t>
  </si>
  <si>
    <t>Lighting systems installed by the base building shall be included in the calculations.</t>
  </si>
  <si>
    <t xml:space="preserve">Install either: 
</t>
  </si>
  <si>
    <t xml:space="preserve">• a master main switch which can turn off all the lighting systems at the same time. It should be located next to the main staff entry for the project space.
</t>
  </si>
  <si>
    <t>• or, a scheduling control to switch on and off the lightings with some localized override control where lighting is needed beyond the scheduled period.</t>
  </si>
  <si>
    <t>Complete the table below with information on all the appliances and equipment installed in the project and considered under this credit.</t>
  </si>
  <si>
    <t>Complete the information below on the plug points and plug load controls installed in the project.</t>
  </si>
  <si>
    <t xml:space="preserve">• a scheduled basis using a time-of-day operated control device that turns receptacles off at specific programmed times </t>
  </si>
  <si>
    <t>The Waste Management Plan must specify:</t>
  </si>
  <si>
    <t>• Goals of waste management: percentage of demolition and construction waste to be diverted from landfill</t>
  </si>
  <si>
    <t>• Strategies to reduce the generation of waste on site</t>
  </si>
  <si>
    <t>• Estimated volumes/tonnages of each type of waste</t>
  </si>
  <si>
    <t xml:space="preserve">• For each material, strategies to reuse, salvage or recycle waste  </t>
  </si>
  <si>
    <t>• Parties responsible for carrying out various aspects of the WMP: recycling coordinator, recycling contractor, licensed haulers and processors, etc.</t>
  </si>
  <si>
    <t>• Description of disposal methods, handling procedures and monitoring of wastes</t>
  </si>
  <si>
    <t>Reply to the question and complete the table below:</t>
  </si>
  <si>
    <t>Select adhesives and sealants with low-VOC content.</t>
  </si>
  <si>
    <t>Only interior paints and coatings installed by the project are considered in this credit.</t>
  </si>
  <si>
    <t>Only interior adhesives and sealants installed by the project are considered in this credit.</t>
  </si>
  <si>
    <t>Complete the table below with information on all the interior adhesives and sealants installed by the project:</t>
  </si>
  <si>
    <t>Complete the table below with information on all the interior paints and coatings installed by the project:</t>
  </si>
  <si>
    <t>Also, adhesives used to fabricate composite wood assemblies shall not contain any added urea-formaldehyde.</t>
  </si>
  <si>
    <r>
      <rPr>
        <i/>
        <sz val="10"/>
        <color rgb="FF943634"/>
        <rFont val="Arial"/>
        <family val="2"/>
      </rPr>
      <t>Table H.1</t>
    </r>
    <r>
      <rPr>
        <i/>
        <sz val="10"/>
        <rFont val="Arial"/>
        <family val="2"/>
      </rPr>
      <t xml:space="preserve">: Equivalence between plant unit number and width of the pot </t>
    </r>
  </si>
  <si>
    <t>Complete the table below with information on all the cleaning products to be used in the project space:</t>
  </si>
  <si>
    <t xml:space="preserve">Environmentally friendly cleaning product?  </t>
  </si>
  <si>
    <t>Cleaning product name</t>
  </si>
  <si>
    <t>The fixed term period of the lease is at least 6 years</t>
  </si>
  <si>
    <t>Reply to the question below on the lease with the base building:</t>
  </si>
  <si>
    <t>LT-2 Option B</t>
  </si>
  <si>
    <t>LT-2 Option A</t>
  </si>
  <si>
    <t xml:space="preserve">A green lease is signed with the landlord </t>
  </si>
  <si>
    <t>Compliant Green lease?</t>
  </si>
  <si>
    <t>Compliant long-term lease?</t>
  </si>
  <si>
    <t>• Energy efficiency features</t>
  </si>
  <si>
    <t xml:space="preserve">• Water-saving features </t>
  </si>
  <si>
    <t>• Correct operation of HVAC and lighting systems</t>
  </si>
  <si>
    <t>• Access, security and safety systems</t>
  </si>
  <si>
    <t>• Evacuation/disaster response plan</t>
  </si>
  <si>
    <t>• Methods for reporting problems</t>
  </si>
  <si>
    <t>• Information on parking, public transportation, car sharing schemes, etc.</t>
  </si>
  <si>
    <t>• Waste recycling procedures</t>
  </si>
  <si>
    <t>Qualified and independent Cx agent?</t>
  </si>
  <si>
    <t>Compliant site safety and welfare?</t>
  </si>
  <si>
    <t>Estimated quantity (tonnes)</t>
  </si>
  <si>
    <t>Strategy A: Thermal Comfort Design</t>
  </si>
  <si>
    <t xml:space="preserve">Strategy B: Thermal Controls </t>
  </si>
  <si>
    <t>Strategy C: Thermal Comfort Measurement</t>
  </si>
  <si>
    <t>VLT</t>
  </si>
  <si>
    <t>Provide direct line of sight to the outdoor environment to the occupied areas.</t>
  </si>
  <si>
    <t>Acknowledgments</t>
  </si>
  <si>
    <t>General</t>
  </si>
  <si>
    <t>In researching and developing the LOTUS Certification system, the Vietnam Green Building Council (VGBC) conducted a survey of all the world’s significant green building rating systems. Several became focal points from which the VGBC has taken inspiration to design LOTUS. These are Australia’s Green Star, the USA’s LEED and Malaysia’s GBI rating systems and to a lesser extent, Britain’s BREEAM, Hong Kong’s BEAM Plus, Indonesia’s Greenship and Singapore’s Green Mark systems.</t>
  </si>
  <si>
    <t>The VGBC is indebted to the Green Building Council Australia (GBCA) for its assistance, and also thank the US Green Building Council and the World Green Building Council and its Asia Pacific Network.</t>
  </si>
  <si>
    <t xml:space="preserve">The VGBC would like to thank all the members of the technical advisory group for their continued help and support. Their dedication to a sustainable, climate change adapted built environment for Vietnam is essential to the accomplishment of the VGBC’s goals and objectives. </t>
  </si>
  <si>
    <t xml:space="preserve">The VGBC would also like to thank all staff and volunteers who have contributed to the development of LOTUS. In performing their unsung work, they have laid the groundwork for a fundamental shift toward sustainability in Vietnam’s built environment. </t>
  </si>
  <si>
    <t>VGBC is grateful to the Global Cities Institute of the Royal Melbourne Institute of Technology (RMIT), which provided major funding at its inception.</t>
  </si>
  <si>
    <t>Authors and contributors</t>
  </si>
  <si>
    <t xml:space="preserve">Lead Authors </t>
  </si>
  <si>
    <t xml:space="preserve">Contributors </t>
  </si>
  <si>
    <t>We extend our thanks to all the authors and contributors who participated in the development of the other LOTUS Rating Systems.</t>
  </si>
  <si>
    <t>VGBC Members</t>
  </si>
  <si>
    <t>Regular Members</t>
  </si>
  <si>
    <t>Archetype Vietnam Ltd</t>
  </si>
  <si>
    <t>B+H Architects Vietnam</t>
  </si>
  <si>
    <t>Bry-Air Malaysia</t>
  </si>
  <si>
    <t>Cat Tuong</t>
  </si>
  <si>
    <t>CBRE Vietnam</t>
  </si>
  <si>
    <t>Deutsche Bekleidungswerke Limited</t>
  </si>
  <si>
    <t>Dragon Capital</t>
  </si>
  <si>
    <t>Indochine Engineering</t>
  </si>
  <si>
    <t>Lap Nguyen Corporation</t>
  </si>
  <si>
    <t>OUT-2 Design</t>
  </si>
  <si>
    <t>Quoc Viet Technology JSC</t>
  </si>
  <si>
    <t xml:space="preserve">RCR infrastructure Vietnam </t>
  </si>
  <si>
    <t xml:space="preserve">Sonacons Construction JSC </t>
  </si>
  <si>
    <t xml:space="preserve">TTT Architects </t>
  </si>
  <si>
    <t xml:space="preserve">Tuan Le Construction Co. Ltd </t>
  </si>
  <si>
    <t xml:space="preserve">Unicons </t>
  </si>
  <si>
    <t xml:space="preserve">Supporting Authors </t>
  </si>
  <si>
    <t xml:space="preserve">Xavier Leulliette </t>
  </si>
  <si>
    <t>Glossary</t>
  </si>
  <si>
    <r>
      <rPr>
        <b/>
        <sz val="10"/>
        <color rgb="FFFFA500"/>
        <rFont val="Arial"/>
        <family val="2"/>
      </rPr>
      <t>Applicant</t>
    </r>
    <r>
      <rPr>
        <sz val="10"/>
        <rFont val="Arial"/>
        <family val="2"/>
      </rPr>
      <t xml:space="preserve"> - The person/organization applying for LOTUS Certification of a project.</t>
    </r>
  </si>
  <si>
    <r>
      <rPr>
        <b/>
        <sz val="10"/>
        <color rgb="FFFFA500"/>
        <rFont val="Arial"/>
        <family val="2"/>
      </rPr>
      <t>Application Form</t>
    </r>
    <r>
      <rPr>
        <b/>
        <sz val="10"/>
        <color rgb="FF943634"/>
        <rFont val="Arial"/>
        <family val="2"/>
      </rPr>
      <t xml:space="preserve"> - </t>
    </r>
    <r>
      <rPr>
        <sz val="10"/>
        <rFont val="Arial"/>
        <family val="2"/>
      </rPr>
      <t>The Application Form is the first step in registering a project with the VGBC. Once completed, the VGBC will check to see that all relevant information is present and correct, register the project and request the payment of a Registration/Certification Fee and the signing of the Provisional Certification Agreement.</t>
    </r>
  </si>
  <si>
    <r>
      <rPr>
        <b/>
        <sz val="10"/>
        <color rgb="FFFFA500"/>
        <rFont val="Arial"/>
        <family val="2"/>
      </rPr>
      <t>Category</t>
    </r>
    <r>
      <rPr>
        <sz val="10"/>
        <rFont val="Arial"/>
        <family val="2"/>
      </rPr>
      <t xml:space="preserve"> - A Category is a grouping of Credits that have a similar area of focus and perceived environmental impact.</t>
    </r>
  </si>
  <si>
    <r>
      <rPr>
        <b/>
        <sz val="10"/>
        <color rgb="FFFFA500"/>
        <rFont val="Arial"/>
        <family val="2"/>
      </rPr>
      <t>Credit</t>
    </r>
    <r>
      <rPr>
        <sz val="10"/>
        <rFont val="Arial"/>
        <family val="2"/>
      </rPr>
      <t xml:space="preserve"> - Each Credit has a specific intent that, if followed and achieved, allows the user to gain points within a LOTUS Rating System. </t>
    </r>
  </si>
  <si>
    <r>
      <rPr>
        <b/>
        <sz val="10"/>
        <color rgb="FFFFA500"/>
        <rFont val="Arial"/>
        <family val="2"/>
      </rPr>
      <t>LOTUS Accredited Professional</t>
    </r>
    <r>
      <rPr>
        <sz val="10"/>
        <rFont val="Arial"/>
        <family val="2"/>
      </rPr>
      <t xml:space="preserve"> - The LOTUS Accredited Professional or LOTUS AP has undergone training and successfully passed the LOTUS Rating System examination. Upon Accreditation, the LOTUS AP is then deemed qualified to work either as an internal or external resource within a LOTUS project.</t>
    </r>
  </si>
  <si>
    <r>
      <rPr>
        <b/>
        <sz val="10"/>
        <color rgb="FFFFA500"/>
        <rFont val="Arial"/>
        <family val="2"/>
      </rPr>
      <t>LOTUS Certified Rating</t>
    </r>
    <r>
      <rPr>
        <sz val="10"/>
        <rFont val="Arial"/>
        <family val="2"/>
      </rPr>
      <t xml:space="preserve"> - The LOTUS Certified Rating is the result obtained after Submission has been assessed at Certification stage by the VGBC Representative. A project can achieved 4 levels of certification, LOTUS Certified, LOTUS Silver, LOTUS Gold or LOTUS Platinum.</t>
    </r>
  </si>
  <si>
    <r>
      <rPr>
        <b/>
        <sz val="10"/>
        <color rgb="FFFFA500"/>
        <rFont val="Arial"/>
        <family val="2"/>
      </rPr>
      <t>LOTUS Technical Manual</t>
    </r>
    <r>
      <rPr>
        <sz val="10"/>
        <color rgb="FFFFA500"/>
        <rFont val="Arial"/>
        <family val="2"/>
      </rPr>
      <t xml:space="preserve"> </t>
    </r>
    <r>
      <rPr>
        <sz val="10"/>
        <rFont val="Arial"/>
        <family val="2"/>
      </rPr>
      <t>- The LOTUS Technical Manual is a user’s guide to attaining the LOTUS Certificate. It provides technical guidance for all LOTUS Credits in order for users to understand intents, requirements, approaches and implementations, calculations and submissions.</t>
    </r>
  </si>
  <si>
    <r>
      <rPr>
        <b/>
        <sz val="10"/>
        <color rgb="FFFFA500"/>
        <rFont val="Arial"/>
        <family val="2"/>
      </rPr>
      <t>Submission Section</t>
    </r>
    <r>
      <rPr>
        <sz val="10"/>
        <rFont val="Arial"/>
        <family val="2"/>
      </rPr>
      <t xml:space="preserve"> - The Submission Section details all requirements that will be assessed for LOTUS Certification.</t>
    </r>
  </si>
  <si>
    <r>
      <rPr>
        <b/>
        <sz val="10"/>
        <color rgb="FFFFA500"/>
        <rFont val="Arial"/>
        <family val="2"/>
      </rPr>
      <t>Drawings</t>
    </r>
    <r>
      <rPr>
        <sz val="10"/>
        <color rgb="FF58AB27"/>
        <rFont val="Arial"/>
        <family val="2"/>
      </rPr>
      <t xml:space="preserve"> </t>
    </r>
    <r>
      <rPr>
        <sz val="10"/>
        <color theme="1"/>
        <rFont val="Arial"/>
        <family val="2"/>
      </rPr>
      <t>- Two dimensional technical diagrams of a place or object.</t>
    </r>
  </si>
  <si>
    <r>
      <rPr>
        <b/>
        <sz val="10"/>
        <color rgb="FFFFA500"/>
        <rFont val="Arial"/>
        <family val="2"/>
      </rPr>
      <t>Elevation</t>
    </r>
    <r>
      <rPr>
        <sz val="10"/>
        <color theme="1"/>
        <rFont val="Arial"/>
        <family val="2"/>
      </rPr>
      <t xml:space="preserve"> - An elevation is a view of a building seen from one side, a 2D drawing of one facade of the building.</t>
    </r>
  </si>
  <si>
    <r>
      <rPr>
        <b/>
        <sz val="10"/>
        <color rgb="FFFFA500"/>
        <rFont val="Arial"/>
        <family val="2"/>
      </rPr>
      <t>Plan</t>
    </r>
    <r>
      <rPr>
        <sz val="10"/>
        <color rgb="FF58AB27"/>
        <rFont val="Arial"/>
        <family val="2"/>
      </rPr>
      <t xml:space="preserve"> </t>
    </r>
    <r>
      <rPr>
        <sz val="10"/>
        <color theme="1"/>
        <rFont val="Arial"/>
        <family val="2"/>
      </rPr>
      <t xml:space="preserve">- A floor plan is the most fundamental architectural diagram, a view from above showing the arrangement of spaces in building in the same way as a map, but showing the arrangement at a particular level of a building. Technically it is a horizontal section cut though a building (conventionally at three feet/one metre above floor level), showing walls, window and door openings and other features at that level. </t>
    </r>
  </si>
  <si>
    <r>
      <rPr>
        <b/>
        <sz val="10"/>
        <color rgb="FFFFA500"/>
        <rFont val="Arial"/>
        <family val="2"/>
      </rPr>
      <t>Site Plan</t>
    </r>
    <r>
      <rPr>
        <sz val="10"/>
        <rFont val="Arial"/>
        <family val="2"/>
      </rPr>
      <t xml:space="preserve"> - An accurate drawing or picture of a planned or completed development site, which has a scale of size for reference (to determine relative sizes and distances). Site plans often show, but are not limited to, boundaries, building locations, landscaping, topography, vegetation, drainage, floodplains, zoning, routes/streets, sidewalks and other site features.</t>
    </r>
  </si>
  <si>
    <t>User Tool</t>
  </si>
  <si>
    <t>• complete all the information and perform all the calculations required in the credits</t>
  </si>
  <si>
    <t xml:space="preserve">The User Tool has been developed in such a way that the users only need to fill in some relevant information about the project and all the results are displayed automatically. </t>
  </si>
  <si>
    <t>Documentation</t>
  </si>
  <si>
    <t>At Certification stage, for each credit pursued, supporting evidence for the credit should be submitted. The list of documents to provide is given in the Submissions section of credits.</t>
  </si>
  <si>
    <t>Submission Folder</t>
  </si>
  <si>
    <t>Category Folders</t>
  </si>
  <si>
    <t>This folder contains a few documents that are provided to the Applicant Representative:</t>
  </si>
  <si>
    <r>
      <t xml:space="preserve">• </t>
    </r>
    <r>
      <rPr>
        <b/>
        <u/>
        <sz val="10"/>
        <rFont val="Arial"/>
        <family val="2"/>
      </rPr>
      <t>Main switch or Scheduling</t>
    </r>
  </si>
  <si>
    <r>
      <t xml:space="preserve">• </t>
    </r>
    <r>
      <rPr>
        <b/>
        <u/>
        <sz val="10"/>
        <rFont val="Arial"/>
        <family val="2"/>
      </rPr>
      <t>Task lighting</t>
    </r>
  </si>
  <si>
    <t>Low-VOC Emissions</t>
  </si>
  <si>
    <r>
      <t>CO</t>
    </r>
    <r>
      <rPr>
        <vertAlign val="subscript"/>
        <sz val="8"/>
        <rFont val="Arial"/>
        <family val="2"/>
      </rPr>
      <t>2</t>
    </r>
    <r>
      <rPr>
        <sz val="8"/>
        <rFont val="Arial"/>
        <family val="2"/>
      </rPr>
      <t xml:space="preserve"> monitoring</t>
    </r>
  </si>
  <si>
    <r>
      <rPr>
        <b/>
        <sz val="10"/>
        <color rgb="FFFFAF00"/>
        <rFont val="Arial"/>
        <family val="2"/>
      </rPr>
      <t>Report</t>
    </r>
    <r>
      <rPr>
        <sz val="10"/>
        <rFont val="Arial"/>
        <family val="2"/>
      </rPr>
      <t xml:space="preserve"> - A written document that describes how the project satisfies the requirements of a certain LOTUS credit.</t>
    </r>
  </si>
  <si>
    <r>
      <rPr>
        <b/>
        <sz val="10"/>
        <color rgb="FFFFAF00"/>
        <rFont val="Arial"/>
        <family val="2"/>
      </rPr>
      <t>Schematics</t>
    </r>
    <r>
      <rPr>
        <sz val="10"/>
        <rFont val="Arial"/>
        <family val="2"/>
      </rPr>
      <t xml:space="preserve"> - A diagram that represents the elements of a system using symbols.</t>
    </r>
  </si>
  <si>
    <r>
      <rPr>
        <b/>
        <sz val="10"/>
        <color rgb="FFFFAF00"/>
        <rFont val="Arial"/>
        <family val="2"/>
      </rPr>
      <t>Coefficient of performance (COP)</t>
    </r>
    <r>
      <rPr>
        <sz val="10"/>
        <color rgb="FFFFAF00"/>
        <rFont val="Arial"/>
        <family val="2"/>
      </rPr>
      <t xml:space="preserve"> </t>
    </r>
    <r>
      <rPr>
        <sz val="10"/>
        <rFont val="Arial"/>
        <family val="2"/>
      </rPr>
      <t xml:space="preserve">- The ratio of the rate of heat removal to the rate of energy input in consistent units, for a complete cooling system or factory assembled equipment, as tested under a nationally recognised standard or designated operating conditions. </t>
    </r>
  </si>
  <si>
    <t>• Is the project space served by supply air ductwork?</t>
  </si>
  <si>
    <t>WP-PR-1 &amp; WP-2</t>
  </si>
  <si>
    <t>• What is the targeted percentage of demolition and construction waste to be diverted from landfill?</t>
  </si>
  <si>
    <t>Handling Procedure and other details</t>
  </si>
  <si>
    <t>Complete the table below with information on all the occupied rooms of the project space:</t>
  </si>
  <si>
    <t>H-9 Strategy A</t>
  </si>
  <si>
    <t>H-9 Strategy B</t>
  </si>
  <si>
    <t>H-9 Strategy C</t>
  </si>
  <si>
    <t>H-9 Strategy D</t>
  </si>
  <si>
    <t>H-9 Strategy E</t>
  </si>
  <si>
    <t>Complete the table below with information on all the lighting fixtures installed in the project space:</t>
  </si>
  <si>
    <t>Strategy C: Color rendering index</t>
  </si>
  <si>
    <r>
      <rPr>
        <b/>
        <u/>
        <sz val="10"/>
        <rFont val="Arial"/>
        <family val="2"/>
      </rPr>
      <t>Criteria</t>
    </r>
    <r>
      <rPr>
        <b/>
        <sz val="10"/>
        <rFont val="Arial"/>
        <family val="2"/>
      </rPr>
      <t>: 95% of interior artificial light sources have a color rendering index (CRI) of 80 or higher</t>
    </r>
  </si>
  <si>
    <t>• separate floors ?</t>
  </si>
  <si>
    <t xml:space="preserve">• HVAC equipment ? </t>
  </si>
  <si>
    <t>• lifts and escalators ?</t>
  </si>
  <si>
    <t>• artificial lighting ?</t>
  </si>
  <si>
    <t>• all the equipment and systems which carry an energy use greater than 100 kVA</t>
  </si>
  <si>
    <t>Individual meters are permanently installed to monitor the energy consumption of:</t>
  </si>
  <si>
    <t>Reply to the questions below. Tick N/A when it is not applicable to the project.</t>
  </si>
  <si>
    <t>E-1 Strategy A</t>
  </si>
  <si>
    <t>E-1 Strategy B</t>
  </si>
  <si>
    <t>E-1 Strategy C</t>
  </si>
  <si>
    <t>Effective cross ventilation?</t>
  </si>
  <si>
    <t>Compliant zoning?</t>
  </si>
  <si>
    <t xml:space="preserve">• Has separate control zones been provided for each solar exposure? </t>
  </si>
  <si>
    <t>Rooms included in the control zone</t>
  </si>
  <si>
    <t>Complete the Table below with information on all the different HVAC control zones:</t>
  </si>
  <si>
    <t>HVAC control zone</t>
  </si>
  <si>
    <t xml:space="preserve">• Has separate control zones been provided for areas with different occupancy needs? </t>
  </si>
  <si>
    <t xml:space="preserve">• Has separate control zones been provided for areas with different usage? </t>
  </si>
  <si>
    <t>Air-cooled air-conditioner</t>
  </si>
  <si>
    <t>E-1 Strategy E</t>
  </si>
  <si>
    <t>LOTUS Interiors includes 32 different credits.</t>
  </si>
  <si>
    <t>The User should remember that there is a wide range of credits to choose from, except for projects aiming for Gold and Platinum which must achieve most of the available credits.</t>
  </si>
  <si>
    <t>Reply to the questions below on the drinking water filtration system:</t>
  </si>
  <si>
    <t>Install a proper drinking water filtration system to get clean drinking water.</t>
  </si>
  <si>
    <t>As a minimum the filtration system should contain filters that can remove:</t>
  </si>
  <si>
    <t>Complete the table below with information on all the materials installed in the project space. All the materials with no sustainable features can be gathered together in the same row.</t>
  </si>
  <si>
    <t>Complete the table below with information on all the furniture products installed in the project space. Furniture products with no sustainable features can be gathered together in the same row.</t>
  </si>
  <si>
    <t>Calculation</t>
  </si>
  <si>
    <r>
      <rPr>
        <u/>
        <sz val="10"/>
        <rFont val="Arial"/>
        <family val="2"/>
      </rPr>
      <t>Exceptions</t>
    </r>
    <r>
      <rPr>
        <sz val="10"/>
        <rFont val="Arial"/>
        <family val="2"/>
      </rPr>
      <t>: Projects may justify a smaller storage area depending on the space type and frequency of waste collection.</t>
    </r>
  </si>
  <si>
    <t>Complete the information below to describe the actions and management practices implemented by the project:</t>
  </si>
  <si>
    <t>Aim</t>
  </si>
  <si>
    <t xml:space="preserve">• Reduce incoming waste streams </t>
  </si>
  <si>
    <t>• Educate building users to adopt environmentally friendly waste management practices</t>
  </si>
  <si>
    <t>• Increase reuse/recycling of waste and reduce the disposal of waste in landfills or incineration facilities</t>
  </si>
  <si>
    <t>Calculations should consider all the occupied rooms in the interior project space.</t>
  </si>
  <si>
    <t>3 types of ventilation are considered to provide fresh air to the occupied spaces:</t>
  </si>
  <si>
    <t>Provide sufficient fresh air supply to occupied areas.</t>
  </si>
  <si>
    <r>
      <t>Total Area of openings to the outdoors (m</t>
    </r>
    <r>
      <rPr>
        <vertAlign val="superscript"/>
        <sz val="10"/>
        <color indexed="9"/>
        <rFont val="Arial"/>
        <family val="2"/>
      </rPr>
      <t>2</t>
    </r>
    <r>
      <rPr>
        <sz val="10"/>
        <color indexed="9"/>
        <rFont val="Arial"/>
        <family val="2"/>
      </rPr>
      <t>)</t>
    </r>
  </si>
  <si>
    <r>
      <t>To receive sufficient fresh air supply through natural ventilation, an occupied room must:
• be within 8 meters of (and permanently open to) an operable wall or roof opening
• have a total area of wall or roof openings of at least 4% of the floor area of the room.
An occupied room without direct openings to the outdoors can be naturally ventilated through adjoining rooms if the unobstructed openings between the rooms are at least 8% of the floor area (with a minimum of 2.3 m</t>
    </r>
    <r>
      <rPr>
        <vertAlign val="superscript"/>
        <sz val="10"/>
        <rFont val="Arial"/>
        <family val="2"/>
      </rPr>
      <t>2</t>
    </r>
    <r>
      <rPr>
        <sz val="10"/>
        <rFont val="Arial"/>
        <family val="2"/>
      </rPr>
      <t>).</t>
    </r>
  </si>
  <si>
    <t>In this case, fresh air supply must meet or surpass the requirements of a recognised standard such as: TCVN 5687:2010, CIBSE, ASHRAE Standard 62.1, Australian Standard AS1668.2, etc.</t>
  </si>
  <si>
    <t>Man-2 Stategy A</t>
  </si>
  <si>
    <t>Man-2 Stategy D</t>
  </si>
  <si>
    <t>Man-2 Stategy C</t>
  </si>
  <si>
    <t>Man-2 Stategy B</t>
  </si>
  <si>
    <t>Man-3 Strategy A</t>
  </si>
  <si>
    <t>Man-3 Strategy B</t>
  </si>
  <si>
    <t>Measures to implement</t>
  </si>
  <si>
    <t>Implemented?</t>
  </si>
  <si>
    <t>Details on the implementation of the measures</t>
  </si>
  <si>
    <t>• Avoid noise and vibration transmitted via the building structure (with demotion, drilling, cutting chases, scrabbling, coring, etc.) between 8 a.m. and 6 p.m. (or other hours in accordance with the base building activities)</t>
  </si>
  <si>
    <t>Complete the information below on the construction noise mitigation strategies:</t>
  </si>
  <si>
    <t>• Modify a noisy process or equipment to eliminate or reduce the noise and vibration output (e.g. adding new mufflers, or sound absorbing material).</t>
  </si>
  <si>
    <t>• Regularly maintain machinery and equipment so equipment in disrepair is not contributing to total noise (simple maintenance can reduce noise level by 50%).</t>
  </si>
  <si>
    <t>• Use noise absorption material to reduce reflected noise inside a room or enclosure, and transmitted outside. (e.g. plywood with sound absorbing).</t>
  </si>
  <si>
    <r>
      <rPr>
        <sz val="10"/>
        <rFont val="Calibri"/>
        <family val="2"/>
      </rPr>
      <t>•</t>
    </r>
    <r>
      <rPr>
        <sz val="10"/>
        <rFont val="Arial"/>
        <family val="2"/>
      </rPr>
      <t xml:space="preserve"> Identify noise sensitive locations</t>
    </r>
  </si>
  <si>
    <r>
      <rPr>
        <sz val="10"/>
        <rFont val="Calibri"/>
        <family val="2"/>
      </rPr>
      <t>•</t>
    </r>
    <r>
      <rPr>
        <sz val="10"/>
        <rFont val="Arial"/>
        <family val="2"/>
      </rPr>
      <t xml:space="preserve"> Identify high impact construction practices</t>
    </r>
  </si>
  <si>
    <r>
      <rPr>
        <sz val="10"/>
        <rFont val="Calibri"/>
        <family val="2"/>
      </rPr>
      <t>•</t>
    </r>
    <r>
      <rPr>
        <sz val="10"/>
        <rFont val="Arial"/>
        <family val="2"/>
      </rPr>
      <t xml:space="preserve"> Implementation of measures to reduce airborne noise (one of the following measures shall be implemented):</t>
    </r>
  </si>
  <si>
    <t>Systems and equipment furnished by the base building, but modified or relocated as part of tenant fit-out, should be included in the scope of commissioning.</t>
  </si>
  <si>
    <t>• Qualifications of the commissioning agent:</t>
  </si>
  <si>
    <t>Job position</t>
  </si>
  <si>
    <t>Experience</t>
  </si>
  <si>
    <t>Educational background</t>
  </si>
  <si>
    <t>Areas of expertise</t>
  </si>
  <si>
    <t>• As-built drawings and specifications</t>
  </si>
  <si>
    <t>• Schedule of all equipment</t>
  </si>
  <si>
    <t>• Commissioning and testing results (if any)</t>
  </si>
  <si>
    <t>• Guarantees, warranties and certificates</t>
  </si>
  <si>
    <t>Strategy A: Operation &amp; Maintenance Manual</t>
  </si>
  <si>
    <t>Strategy B: Preventative Maintenance Plan</t>
  </si>
  <si>
    <t>Produce a preventative maintenance plan</t>
  </si>
  <si>
    <t xml:space="preserve">The LOTUS Interiors submission process happens in 4 stages: </t>
  </si>
  <si>
    <t>Full Certification stage checklist</t>
  </si>
  <si>
    <t>Submitted?</t>
  </si>
  <si>
    <t>Name of the document(s)</t>
  </si>
  <si>
    <t>Flush rate
[Lpf]</t>
  </si>
  <si>
    <t xml:space="preserve">Select low-flow water fixtures to reduce domestic water consumption through fixtures. </t>
  </si>
  <si>
    <t>• Final bill of quantities detailing the cost of all materials installed in the project</t>
  </si>
  <si>
    <t>• Final bill of quantities detailing the cost of all furniture products installed in the project</t>
  </si>
  <si>
    <r>
      <t>• Only refrigerants that have an ozone depletion potential (ODP) of zero and a global warming potential (GWP</t>
    </r>
    <r>
      <rPr>
        <vertAlign val="subscript"/>
        <sz val="10"/>
        <rFont val="Arial"/>
        <family val="2"/>
      </rPr>
      <t>100</t>
    </r>
    <r>
      <rPr>
        <sz val="10"/>
        <rFont val="Arial"/>
        <family val="2"/>
      </rPr>
      <t>) of less than 50 are used</t>
    </r>
  </si>
  <si>
    <t>• ODPr = Ozone Depletion Potential of Refrigerant (0 to 0.2 kg CFC 11/kg r) coming from the stratospheric ozone protection regulations at 40 CFR Part 82</t>
  </si>
  <si>
    <t xml:space="preserve">• Lr = Refrigerant Leakage Rate (0.5% to 2.0%; default of 2% unless otherwise demonstrated) </t>
  </si>
  <si>
    <t xml:space="preserve">• Mr = End-of-life Refrigerant Loss (2% to 10%; default of 10% unless otherwise demonstrated) </t>
  </si>
  <si>
    <t xml:space="preserve">• Rc = Refrigerant Charge (0.2 to 2.3 kg of refrigerant per kW of rated cooling capacity) </t>
  </si>
  <si>
    <t xml:space="preserve">• Life = Equipment Life (default based on Table WP.2, unless otherwise demonstrated) </t>
  </si>
  <si>
    <r>
      <t>• GWPr</t>
    </r>
    <r>
      <rPr>
        <vertAlign val="subscript"/>
        <sz val="10"/>
        <rFont val="Arial"/>
        <family val="2"/>
      </rPr>
      <t>100</t>
    </r>
    <r>
      <rPr>
        <sz val="10"/>
        <rFont val="Arial"/>
        <family val="2"/>
      </rPr>
      <t xml:space="preserve"> = Global Warming Potential of Refrigerant (0 to 12,000 kg CO2/kg r) coming from the IPCC Fifth Assessment Report (AR5) in 2013.</t>
    </r>
  </si>
  <si>
    <t>Average Refrigerant Atmospheric Impact of all systems</t>
  </si>
  <si>
    <t>• Include individual meters as required above for sub-metering</t>
  </si>
  <si>
    <t>Power monitoring system: Install a power monitoring system to monitor the consumption of all major electrical energy uses.</t>
  </si>
  <si>
    <t>Sub-metering: Install individual meters (sub-meters) to monitor the consumption of all major electrical energy uses.</t>
  </si>
  <si>
    <t>Power monitoring system: Submit all the documentation listed below:</t>
  </si>
  <si>
    <t>Sub-metering: Submit all the documentation listed below:</t>
  </si>
  <si>
    <t>• Report indicating how the monitoring system is employed, including:
- Responsible staff and training provided
- Outputs generated such as daily/monthly electricity consumption report</t>
  </si>
  <si>
    <t>• Final schedule of all the HVAC equipment installed indicating COP values</t>
  </si>
  <si>
    <r>
      <rPr>
        <b/>
        <sz val="10"/>
        <color rgb="FFFFAF00"/>
        <rFont val="Arial"/>
        <family val="2"/>
      </rPr>
      <t>Base building</t>
    </r>
    <r>
      <rPr>
        <sz val="10"/>
        <rFont val="Arial"/>
        <family val="2"/>
      </rPr>
      <t xml:space="preserve"> - The building which houses the interior project space. </t>
    </r>
  </si>
  <si>
    <t xml:space="preserve">Select an interior space with a good potential for natural ventilation and properly design the space layout. </t>
  </si>
  <si>
    <t>Strategy C: HVAC Zoning</t>
  </si>
  <si>
    <r>
      <rPr>
        <b/>
        <sz val="10"/>
        <rFont val="Arial"/>
        <family val="2"/>
      </rPr>
      <t>Strategy B: COP improvement of HVAC equipment</t>
    </r>
    <r>
      <rPr>
        <sz val="10"/>
        <rFont val="Arial"/>
        <family val="2"/>
      </rPr>
      <t xml:space="preserve">
For 1 point, 10% improvement of COP for direct electric air-conditioners AND 5% improvement of COP for water-chilling systems in comparison to QCVN 09:2013 requirements
1 point for every further 10% improvement of COP for direct electric air-conditioners AND further 5% improvement of COP for water-chilling systems in comparison to QCVN 09:2013 requirements </t>
    </r>
  </si>
  <si>
    <t>Strategy B: COP improvement of HVAC equipment</t>
  </si>
  <si>
    <t>Strategy D: HVAC Controls</t>
  </si>
  <si>
    <t xml:space="preserve">Should the HVAC equipment installed and managed by the base building but serving the project space be considered in the credit? </t>
  </si>
  <si>
    <t>Or should only the HVAC equipment installed by the project be considered in the credit?</t>
  </si>
  <si>
    <t>Only the HVAC equipment installed by the project</t>
  </si>
  <si>
    <t>All HVAC equipment serving the project space</t>
  </si>
  <si>
    <t>LOTUS Interiors Scorecard</t>
  </si>
  <si>
    <t>E-1 Strategy D variable controls</t>
  </si>
  <si>
    <t>E-1 Strategy D demand control</t>
  </si>
  <si>
    <t>• Manufacturer's data of the HVAC equipment installed indicating COP values</t>
  </si>
  <si>
    <r>
      <t>Area of the space (m</t>
    </r>
    <r>
      <rPr>
        <vertAlign val="superscript"/>
        <sz val="10"/>
        <color theme="0"/>
        <rFont val="Arial"/>
        <family val="2"/>
      </rPr>
      <t>2</t>
    </r>
    <r>
      <rPr>
        <sz val="10"/>
        <color theme="0"/>
        <rFont val="Arial"/>
        <family val="2"/>
      </rPr>
      <t>)</t>
    </r>
  </si>
  <si>
    <r>
      <t>Area with External View (m</t>
    </r>
    <r>
      <rPr>
        <vertAlign val="superscript"/>
        <sz val="10"/>
        <color theme="0"/>
        <rFont val="Arial"/>
        <family val="2"/>
      </rPr>
      <t>2</t>
    </r>
    <r>
      <rPr>
        <sz val="10"/>
        <color theme="0"/>
        <rFont val="Arial"/>
        <family val="2"/>
      </rPr>
      <t>)</t>
    </r>
  </si>
  <si>
    <r>
      <t>Compliant area (m</t>
    </r>
    <r>
      <rPr>
        <vertAlign val="superscript"/>
        <sz val="10"/>
        <color theme="0"/>
        <rFont val="Arial"/>
        <family val="2"/>
      </rPr>
      <t>2</t>
    </r>
    <r>
      <rPr>
        <sz val="10"/>
        <color theme="0"/>
        <rFont val="Arial"/>
        <family val="2"/>
      </rPr>
      <t>)</t>
    </r>
  </si>
  <si>
    <r>
      <t>Total compliant area (m</t>
    </r>
    <r>
      <rPr>
        <vertAlign val="superscript"/>
        <sz val="11"/>
        <color theme="0"/>
        <rFont val="Arial"/>
        <family val="2"/>
      </rPr>
      <t>2</t>
    </r>
    <r>
      <rPr>
        <sz val="11"/>
        <color theme="0"/>
        <rFont val="Arial"/>
        <family val="2"/>
      </rPr>
      <t>)</t>
    </r>
  </si>
  <si>
    <t>To meet LOTUS requirements on interior plants, comply with the 3 following requirements:</t>
  </si>
  <si>
    <t>• No herbicides and pesticides should be applied to the plants.</t>
  </si>
  <si>
    <t>Install a sufficient amount of carefully selected interior plants in the project space</t>
  </si>
  <si>
    <t>Install a sufficient amount of carefully selected interior plants in the project space.</t>
  </si>
  <si>
    <t>• Evidence showing that the plants installed are suitable to indoor environments such as letter of confirmation from the plant supplier, published document, etc.</t>
  </si>
  <si>
    <t>• Is the base building LOTUS Certified?</t>
  </si>
  <si>
    <t>• What is the fixed term period of the lease? (in years)</t>
  </si>
  <si>
    <t>Reply to the questions below on collective transportation information:</t>
  </si>
  <si>
    <t>• Will the service be regularly maintained?</t>
  </si>
  <si>
    <t>Access provided?</t>
  </si>
  <si>
    <t>Types of facilities and amenities</t>
  </si>
  <si>
    <t>• Community connectivity: 
There are 10 different basic services in 500m walking distance from the building entrance</t>
  </si>
  <si>
    <t xml:space="preserve">• Water recycling/reuse: 
Recycled water, reused water or harvested rainwater contributes to the building’s water consumption </t>
  </si>
  <si>
    <t>• Access for people with disabilities: 
Base building and fit-out project meet the QCXDVN 01:2002 requirements by following a recognized Barrier Free Environment standard in public areas of the building</t>
  </si>
  <si>
    <t>• Vegetation: 
10% of the total site area (including roof) is vegetated</t>
  </si>
  <si>
    <t>• Other Green attribute (Subject to VGBC approval)</t>
  </si>
  <si>
    <t>Implement measures to provide safety and welfare for construction workers</t>
  </si>
  <si>
    <t>Complete the information below on the main contractor:</t>
  </si>
  <si>
    <t>Main Contractor Company Name</t>
  </si>
  <si>
    <t>• Copy of the ISO 14001 certificate of the main contractor</t>
  </si>
  <si>
    <t>• heavy metals</t>
  </si>
  <si>
    <t>Select the unit used for calculations and complete the table below:</t>
  </si>
  <si>
    <t>Complete the table below with information on the strategies to reduce waste generation:</t>
  </si>
  <si>
    <t>Details on the strategies implemented</t>
  </si>
  <si>
    <r>
      <rPr>
        <b/>
        <sz val="10"/>
        <rFont val="Arial"/>
        <family val="2"/>
      </rPr>
      <t>Strategy A3: Process Water Use</t>
    </r>
    <r>
      <rPr>
        <sz val="10"/>
        <rFont val="Arial"/>
        <family val="2"/>
      </rPr>
      <t xml:space="preserve">
Install water efficient appliances to reduce process water use</t>
    </r>
  </si>
  <si>
    <t>Strategy A1: Space Water Use</t>
  </si>
  <si>
    <t>Strategy A2: Upgrade of base building water fixtures</t>
  </si>
  <si>
    <t>Strategy A3: Process Water Use</t>
  </si>
  <si>
    <t>Strategy B2: Upgrade of base building water fixtures</t>
  </si>
  <si>
    <t>Man-4 Strategy A</t>
  </si>
  <si>
    <t>Man-4 Strategy B</t>
  </si>
  <si>
    <r>
      <rPr>
        <b/>
        <sz val="10"/>
        <rFont val="Arial"/>
        <family val="2"/>
      </rPr>
      <t>Option B: Reverberation Time</t>
    </r>
    <r>
      <rPr>
        <sz val="10"/>
        <rFont val="Arial"/>
        <family val="2"/>
      </rPr>
      <t xml:space="preserve">
Average reverberation time (T60) in the spaces of the project meet requirements of the Performance Measurement Protocols for Commercial Buildings</t>
    </r>
  </si>
  <si>
    <r>
      <rPr>
        <b/>
        <sz val="10"/>
        <rFont val="Arial"/>
        <family val="2"/>
      </rPr>
      <t>Option A: Internal Noise Levels</t>
    </r>
    <r>
      <rPr>
        <sz val="10"/>
        <rFont val="Arial"/>
        <family val="2"/>
      </rPr>
      <t xml:space="preserve">
Spaces of the project comply with the requirements of TCXDVN 175:2005 -  Maximum Permitted Noise Levels for Public Buildings – Design Standard</t>
    </r>
  </si>
  <si>
    <t>Option A: Internal Noise Levels</t>
  </si>
  <si>
    <t>Option B: Reverberation Time</t>
  </si>
  <si>
    <t>Calculations of reverberation time are not included in this sheet.</t>
  </si>
  <si>
    <t>Average reverberation time (T60)</t>
  </si>
  <si>
    <t>Compliant reverberation time?</t>
  </si>
  <si>
    <t>H-11 Option B</t>
  </si>
  <si>
    <t>H-11 Option A</t>
  </si>
  <si>
    <t>Reply to the questions below on the lease with the base building:</t>
  </si>
  <si>
    <t>Reply to the questions below on the spaces for bicycles:</t>
  </si>
  <si>
    <t>LT-3 Strategy D</t>
  </si>
  <si>
    <t>LT-3 Strategy E</t>
  </si>
  <si>
    <t>Reply to the questions below on the Operation &amp; Maintenance Manual:</t>
  </si>
  <si>
    <t>• List of all equipment requiring maintenance</t>
  </si>
  <si>
    <t>• Timeline for maintenance for all listed equipment</t>
  </si>
  <si>
    <t xml:space="preserve">• Schedule indicating when each maintenance operation must be conducted </t>
  </si>
  <si>
    <t>Compliant Operation &amp; Maintenance Manual?</t>
  </si>
  <si>
    <t>Does the User guide include the following information for users?</t>
  </si>
  <si>
    <t>The User guide should be a non-technical, easy to understand guide with information for users about:</t>
  </si>
  <si>
    <t>• Design specifications of the interior space and how these affect its operation</t>
  </si>
  <si>
    <t>Man-5 Strategy A</t>
  </si>
  <si>
    <t>Man-5 Strategy B</t>
  </si>
  <si>
    <t>Man-5 Strategy C</t>
  </si>
  <si>
    <t>• Copy of the User guide (scans or photographs)</t>
  </si>
  <si>
    <t>Reply to the questions below on the User guide:</t>
  </si>
  <si>
    <t>The training program should educate the occupants on the interior space and their relationship to the interior space:</t>
  </si>
  <si>
    <t>The program should also educate occupants about the topics of resource conservation, health issues, climate change, etc.</t>
  </si>
  <si>
    <t>• Green features of the interior space</t>
  </si>
  <si>
    <t>green features, sustainability goals, impacts of their behaviour on the performance and ways to improve their behaviour.</t>
  </si>
  <si>
    <t>• Sustainability goals of the interior space</t>
  </si>
  <si>
    <t>• Ways to improve occupant's behaviour</t>
  </si>
  <si>
    <r>
      <rPr>
        <b/>
        <sz val="10"/>
        <color rgb="FFFFAF00"/>
        <rFont val="Arial"/>
        <family val="2"/>
      </rPr>
      <t>Natural ventilation</t>
    </r>
    <r>
      <rPr>
        <sz val="10"/>
        <rFont val="Arial"/>
        <family val="2"/>
      </rPr>
      <t xml:space="preserve"> - Technologies or design features used to ventilate buildings without power consumption. Natural ventilation, unlike fan-forced ventilation, uses the natural forces of wind and buoyancy to deliver fresh air into buildings.</t>
    </r>
  </si>
  <si>
    <r>
      <rPr>
        <b/>
        <sz val="10"/>
        <color rgb="FFFFAF00"/>
        <rFont val="Arial"/>
        <family val="2"/>
      </rPr>
      <t>Non-baked materials</t>
    </r>
    <r>
      <rPr>
        <sz val="10"/>
        <rFont val="Arial"/>
        <family val="2"/>
      </rPr>
      <t xml:space="preserve"> - Also called Non-fired materials. They are building materials that solidify and meet all required physical properties (compressive strength, bending strength, water absorption, etc.) without undergoing the firing process. In the Decision No. 567/QD-TTg of April 28, 2010 (Approving the Program on development of non-baked building materials through 2020), the Vietnamese government has officially supported the development of non-baked materials to replace traditionally baked bricks, a main cause of pollution and energy waste.</t>
    </r>
  </si>
  <si>
    <r>
      <rPr>
        <b/>
        <sz val="10"/>
        <color rgb="FFFFAF00"/>
        <rFont val="Arial"/>
        <family val="2"/>
      </rPr>
      <t>Rapidly renewable materials</t>
    </r>
    <r>
      <rPr>
        <sz val="10"/>
        <rFont val="Arial"/>
        <family val="2"/>
      </rPr>
      <t xml:space="preserve"> - A rapidly renewable material is a source that can regenerate what has once been harvested within 10 years or less.</t>
    </r>
  </si>
  <si>
    <r>
      <rPr>
        <b/>
        <sz val="10"/>
        <color rgb="FFFFAF00"/>
        <rFont val="Arial"/>
        <family val="2"/>
      </rPr>
      <t>Refrigerant</t>
    </r>
    <r>
      <rPr>
        <sz val="10"/>
        <rFont val="Arial"/>
        <family val="2"/>
      </rPr>
      <t xml:space="preserve"> - A refrigerant is a compound used in a heat cycle that reversibly undergoes a phase change from a gas to a liquid in a process of converting thermal energy to mechanical output.</t>
    </r>
  </si>
  <si>
    <r>
      <rPr>
        <b/>
        <sz val="10"/>
        <color rgb="FFFFAF00"/>
        <rFont val="Arial"/>
        <family val="2"/>
      </rPr>
      <t>Renewable energy</t>
    </r>
    <r>
      <rPr>
        <sz val="10"/>
        <rFont val="Arial"/>
        <family val="2"/>
      </rPr>
      <t xml:space="preserve"> - Energy generated from sources (sunlight, wind, rain, tides, and geothermal heat) that are replenished naturally and continually.</t>
    </r>
  </si>
  <si>
    <r>
      <rPr>
        <b/>
        <sz val="10"/>
        <color rgb="FFFFAF00"/>
        <rFont val="Arial"/>
        <family val="2"/>
      </rPr>
      <t>VBEEC</t>
    </r>
    <r>
      <rPr>
        <sz val="10"/>
        <color rgb="FF58AB27"/>
        <rFont val="Arial"/>
        <family val="2"/>
      </rPr>
      <t xml:space="preserve"> </t>
    </r>
    <r>
      <rPr>
        <sz val="10"/>
        <color theme="1"/>
        <rFont val="Arial"/>
        <family val="2"/>
      </rPr>
      <t>- The Vietnam Building Energy Efficiency Code QCXDVN 09:2013/BXD is issued by the Ministry of Construction and is mandatory in Vietnam in order to help meet energy saving goals.</t>
    </r>
  </si>
  <si>
    <r>
      <rPr>
        <b/>
        <sz val="10"/>
        <color rgb="FFFFAF00"/>
        <rFont val="Arial"/>
        <family val="2"/>
      </rPr>
      <t>Ventilation</t>
    </r>
    <r>
      <rPr>
        <b/>
        <sz val="10"/>
        <color rgb="FF943634"/>
        <rFont val="Arial"/>
        <family val="2"/>
      </rPr>
      <t xml:space="preserve"> - </t>
    </r>
    <r>
      <rPr>
        <sz val="10"/>
        <rFont val="Arial"/>
        <family val="2"/>
      </rPr>
      <t>The process of supplying fresh air and removing vitiated air by natural or mechanical means to and from a space. Such air may or may not have been conditioned.</t>
    </r>
  </si>
  <si>
    <r>
      <rPr>
        <b/>
        <sz val="10"/>
        <color rgb="FFFFAF00"/>
        <rFont val="Arial"/>
        <family val="2"/>
      </rPr>
      <t>Volatile Organic Compound (VOC)</t>
    </r>
    <r>
      <rPr>
        <sz val="10"/>
        <rFont val="Arial"/>
        <family val="2"/>
      </rPr>
      <t xml:space="preserve"> - An organic chemical compound that enters gaseous phase under normal room conditions due to its high vapour pressures. Some VOCs have negative effects on human health when concentrated in poorly ventilated indoor spaces.</t>
    </r>
  </si>
  <si>
    <r>
      <rPr>
        <b/>
        <sz val="10"/>
        <color rgb="FFFFAF00"/>
        <rFont val="Arial"/>
        <family val="2"/>
      </rPr>
      <t>Water efficient fixture</t>
    </r>
    <r>
      <rPr>
        <sz val="10"/>
        <rFont val="Arial"/>
        <family val="2"/>
      </rPr>
      <t xml:space="preserve"> - Water-based fixture that requires less amount of water to complete a designed task than most average fixtures</t>
    </r>
  </si>
  <si>
    <t>Compliant Green Training ?</t>
  </si>
  <si>
    <t>Compliant User Guide ?</t>
  </si>
  <si>
    <t>• Impacts of occupant's behaviour on the performance of the interior space</t>
  </si>
  <si>
    <t>Does the Green Training educate occupants on the following topics?</t>
  </si>
  <si>
    <t>• Resource conservation</t>
  </si>
  <si>
    <t>• Health issues</t>
  </si>
  <si>
    <t>• Climate change</t>
  </si>
  <si>
    <t>Compliant green awareness campaign ?</t>
  </si>
  <si>
    <t xml:space="preserve">The green-awareness campaign can be executed by displaying posters or screens in the most frequented areas of the interior space. </t>
  </si>
  <si>
    <t xml:space="preserve">As a minimum, the following information should be shown: impacts of buildings on the environment, one sustainability feature related to Energy Conservation </t>
  </si>
  <si>
    <t>or Energy Efficiency, one sustainability feature related to Water Conservation or Water Efficiency and one sustainability feature related to Health &amp; Comfort.</t>
  </si>
  <si>
    <t>Implement a permanent green-awareness campaign.</t>
  </si>
  <si>
    <t xml:space="preserve">• impacts of buildings on the environment </t>
  </si>
  <si>
    <t xml:space="preserve">• one sustainability feature related to Energy Conservation or Energy Efficiency </t>
  </si>
  <si>
    <t>• one sustainability feature related to Water Conservation or Water Efficiency</t>
  </si>
  <si>
    <t>• one sustainability feature related to Health &amp; Comfort</t>
  </si>
  <si>
    <t>Reply to the questions below on the preventative maintenance plan:</t>
  </si>
  <si>
    <t>Compliant preventative maintenance plan ?</t>
  </si>
  <si>
    <t>Additional information</t>
  </si>
  <si>
    <t>Points targeted</t>
  </si>
  <si>
    <t>Note: This sheet is for projects to provide additional information and comments on the credits pursued.
If a credit is not achieved after completing the User Tool but the project wants to claim the credit using an alternative compliance path, it should be described here.</t>
  </si>
  <si>
    <t>• Instructions for operation and maintenance (including health and safety
information, general instructions for efficient operation and periodical maintenance)</t>
  </si>
  <si>
    <t>Complete the information below on the commissioning activities:</t>
  </si>
  <si>
    <t>Complete the table below with information on the facilities and amenities accessible to project occupants:</t>
  </si>
  <si>
    <t>• Recreational facilities (e.g. sleeping/rest room, fitness room, library, etc.);</t>
  </si>
  <si>
    <t>• Nursery provisions / Child care rooms</t>
  </si>
  <si>
    <t>• Medical room with First-Aid-Kit Facility</t>
  </si>
  <si>
    <t>• Garden with seats (can be a sky garden or a roof garden)</t>
  </si>
  <si>
    <t>• Fully equipped pantries</t>
  </si>
  <si>
    <t>• Dry-cleaning facilities</t>
  </si>
  <si>
    <t>• Other facilities or amenities</t>
  </si>
  <si>
    <t>• Plans indicating location, size and capacity of parking spaces, showering facilities and lockers</t>
  </si>
  <si>
    <t>Walking distance should be measured from the public transportation service location to the closest building entrance.</t>
  </si>
  <si>
    <t>Location of the service</t>
  </si>
  <si>
    <t>Description of the bus circulation</t>
  </si>
  <si>
    <t>Application and Registration</t>
  </si>
  <si>
    <t>The first step to gain LOTUS Certification is to apply and register the project with the VGBC. This should be done at the earliest stage possible as the implementation of “green” strategies is most effective when they are considered early in the planning and design stage.</t>
  </si>
  <si>
    <t>Compliant electric vehicle charging stations  ?</t>
  </si>
  <si>
    <t>Compliant green transportation program ?</t>
  </si>
  <si>
    <t>Complete the information below on the green transportation program:</t>
  </si>
  <si>
    <t>Services and incentives to encourage occupants to use a green mode of transport include (but are not limited to): 
organising a vehicle sharing program, providing shuttle busses for events, covering taxi fares in exceptional circumstances, providing rides to occupants, providing electric vehicles for employee business use, etc.</t>
  </si>
  <si>
    <t xml:space="preserve">Set up a green transportation program with at least 2 services/incentives to encourage occupants to use a green mode of transport. </t>
  </si>
  <si>
    <t>• Photographs of the electric vehicle charging stations in the parking</t>
  </si>
  <si>
    <t>• Plans indicating location of the electric vehicle charging stations</t>
  </si>
  <si>
    <t>The tenant should sign a Green lease with the building owner/landlord and the lease should include the following elements:</t>
  </si>
  <si>
    <t>• Copy (or extracts) of the lease agreement showing the fixed term period of the lease</t>
  </si>
  <si>
    <t>Complete the information below on the post-occupancy comfort survey:</t>
  </si>
  <si>
    <t>Average</t>
  </si>
  <si>
    <t>Comfort Categories with low satisfaction</t>
  </si>
  <si>
    <t>Measurements to be realised</t>
  </si>
  <si>
    <t>If necessary, complete the table below with information on the action plan:</t>
  </si>
  <si>
    <t xml:space="preserve">Proposed corrective actions </t>
  </si>
  <si>
    <r>
      <rPr>
        <b/>
        <sz val="10"/>
        <color rgb="FFFFA500"/>
        <rFont val="Arial"/>
        <family val="2"/>
      </rPr>
      <t>Prerequisite</t>
    </r>
    <r>
      <rPr>
        <sz val="10"/>
        <rFont val="Arial"/>
        <family val="2"/>
      </rPr>
      <t xml:space="preserve"> or </t>
    </r>
    <r>
      <rPr>
        <b/>
        <sz val="10"/>
        <color rgb="FFFFA500"/>
        <rFont val="Arial"/>
        <family val="2"/>
      </rPr>
      <t>LOTUS Prerequisite</t>
    </r>
    <r>
      <rPr>
        <sz val="10"/>
        <rFont val="Arial"/>
        <family val="2"/>
      </rPr>
      <t xml:space="preserve"> - Indicates the minimum requirements in a LOTUS Rating System. Projects that apply for LOTUS certification are obliged to fulfil all prerequisites. Each prerequisite is organized in a standard format, similar to credit format. A list of all prerequisites is provided at the beginning of the LOTUS Technical Manual.</t>
    </r>
  </si>
  <si>
    <r>
      <rPr>
        <b/>
        <sz val="11"/>
        <color rgb="FFFFA500"/>
        <rFont val="Calibri"/>
        <family val="2"/>
        <scheme val="minor"/>
      </rPr>
      <t>Applicants</t>
    </r>
    <r>
      <rPr>
        <sz val="11"/>
        <color theme="1"/>
        <rFont val="Calibri"/>
        <family val="2"/>
        <scheme val="minor"/>
      </rPr>
      <t xml:space="preserve"> must complete the </t>
    </r>
    <r>
      <rPr>
        <b/>
        <sz val="11"/>
        <color rgb="FFFFA500"/>
        <rFont val="Calibri"/>
        <family val="2"/>
        <scheme val="minor"/>
      </rPr>
      <t>Application Form</t>
    </r>
    <r>
      <rPr>
        <sz val="11"/>
        <color theme="1"/>
        <rFont val="Calibri"/>
        <family val="2"/>
        <scheme val="minor"/>
      </rPr>
      <t xml:space="preserve"> (included in this User Tool), print it, sign it and submit it to the VGBC. </t>
    </r>
  </si>
  <si>
    <t>LOTUS Project Application Form</t>
  </si>
  <si>
    <t>1. Project Information</t>
  </si>
  <si>
    <t>Project name</t>
  </si>
  <si>
    <t>Project address</t>
  </si>
  <si>
    <t>Describe type of works</t>
  </si>
  <si>
    <r>
      <t>Project size (Gross Floor Area in m</t>
    </r>
    <r>
      <rPr>
        <vertAlign val="superscript"/>
        <sz val="11"/>
        <color theme="1"/>
        <rFont val="Arial"/>
        <family val="2"/>
      </rPr>
      <t>2</t>
    </r>
    <r>
      <rPr>
        <sz val="11"/>
        <color theme="1"/>
        <rFont val="Arial"/>
        <family val="2"/>
      </rPr>
      <t>, excluding car park areas)</t>
    </r>
  </si>
  <si>
    <t>Number of storeys</t>
  </si>
  <si>
    <t>Brief project description and major design features
(images can be attached to this form and sent by email)</t>
  </si>
  <si>
    <t>Expected construction start date</t>
  </si>
  <si>
    <t>Expected completion date</t>
  </si>
  <si>
    <t>Desired LOTUS Rating</t>
  </si>
  <si>
    <t xml:space="preserve">Is the project confidential?  </t>
  </si>
  <si>
    <t>2. Project Owner Information</t>
  </si>
  <si>
    <t>Name</t>
  </si>
  <si>
    <t>Address</t>
  </si>
  <si>
    <t>Phone</t>
  </si>
  <si>
    <t>Mobile phone</t>
  </si>
  <si>
    <t>Email address</t>
  </si>
  <si>
    <t>3. Applicant Representative (if any) *</t>
  </si>
  <si>
    <t>Organization</t>
  </si>
  <si>
    <t>4. LOTUS Requirements</t>
  </si>
  <si>
    <t>As the project owner (or the Applicant Representative), I understand the following:</t>
  </si>
  <si>
    <t>Buildings can only be assessed by the VGBC if they meet all LOTUS Homes eligibility criteria.</t>
  </si>
  <si>
    <t>LOTUS ratings can only be marketed after the project has been formally assessed by the VGBC and a certification has been awarded. Marketing resources will be provided by the VGBC to assist with marketing.</t>
  </si>
  <si>
    <t>Documentation provided must accurately represent the project. The VGBC can request additional documentation from the project team to verify the environmental initiatives being claimed.</t>
  </si>
  <si>
    <t>5. Application/Submission</t>
  </si>
  <si>
    <t>Signature of the Owner or Representative</t>
  </si>
  <si>
    <t>Organization stamp (if any):</t>
  </si>
  <si>
    <t>Date</t>
  </si>
  <si>
    <t>Organization (if any)</t>
  </si>
  <si>
    <t>Billing Address</t>
  </si>
  <si>
    <t>Please send the duly completed form to:</t>
  </si>
  <si>
    <t>Vietnam Green Building Council</t>
  </si>
  <si>
    <r>
      <t xml:space="preserve">Email: </t>
    </r>
    <r>
      <rPr>
        <u/>
        <sz val="11"/>
        <color rgb="FFFFFFFF"/>
        <rFont val="Arial"/>
        <family val="2"/>
      </rPr>
      <t>certification@vgbc.org.vn</t>
    </r>
  </si>
  <si>
    <t>• The application will not be processed unless this form is duly completed.</t>
  </si>
  <si>
    <t>• The applicant will be informed of the non-refundable registration fees which will be paid upon acceptance of the application form.</t>
  </si>
  <si>
    <t>• A notification of payment document will be issued once the Application has been approved. 
The registration fee must be made within 5 working days as soon as the applicant receives this document</t>
  </si>
  <si>
    <t>• Registration is not finalised until all fees and agreements have been completed.</t>
  </si>
  <si>
    <t>For VGBC Use</t>
  </si>
  <si>
    <t>LOTUS Registration No.</t>
  </si>
  <si>
    <t>Date of submission</t>
  </si>
  <si>
    <t>LOTUS Interiors Certification</t>
  </si>
  <si>
    <r>
      <rPr>
        <b/>
        <sz val="10"/>
        <color rgb="FFFFA500"/>
        <rFont val="Arial"/>
        <family val="2"/>
      </rPr>
      <t xml:space="preserve">Bill Of Quantity (BOQ) </t>
    </r>
    <r>
      <rPr>
        <sz val="10"/>
        <rFont val="Arial"/>
        <family val="2"/>
      </rPr>
      <t>- A document drawn up by a quantity surveyor providing details of the prices, dimensions, etc., of the materials required to build a project. A BOQ is a document used in tendering in the construction industry in which materials, parts, and labor and their costs are itemized. It may also detail the terms and conditions of the construction or repair contract and itemize all work to enable a contractor to price the work for which he or she is bidding.</t>
    </r>
  </si>
  <si>
    <t>*The Applicant Representative is responsible for all elements of the certification and submission process within LOTUS Rating Systems. The Applicant Representative will directly liaise with the VGBC Representative throughout all stages of LOTUS Certification.</t>
  </si>
  <si>
    <t>Select water efficient appliances that meet the requirements in Table W.1.</t>
  </si>
  <si>
    <t>Maximum flowrate [L/s]</t>
  </si>
  <si>
    <t xml:space="preserve">The baseline annual water use is calculated using values in Tables W.2 to W.6 (available in Resources sheet) </t>
  </si>
  <si>
    <t xml:space="preserve">W-1 Water Efficient Fixtures  </t>
  </si>
  <si>
    <t>Fixture</t>
  </si>
  <si>
    <t>Daily Fixture Uses</t>
  </si>
  <si>
    <t>Full Time Occupants</t>
  </si>
  <si>
    <t>Visitors</t>
  </si>
  <si>
    <t>WC - Single Flush (female)</t>
  </si>
  <si>
    <t>-</t>
  </si>
  <si>
    <t>WC - Dual flush (female)</t>
  </si>
  <si>
    <t>1 full-flush /</t>
  </si>
  <si>
    <t>2 half-flushes</t>
  </si>
  <si>
    <t xml:space="preserve">0.1 full-flush / </t>
  </si>
  <si>
    <t>0.4 half-flush</t>
  </si>
  <si>
    <t>WC - Single Flush (male)</t>
  </si>
  <si>
    <t>WC - Dual flush (male)</t>
  </si>
  <si>
    <t>1 full-flush</t>
  </si>
  <si>
    <t>0.1 full-flush</t>
  </si>
  <si>
    <t>Urinal (male)</t>
  </si>
  <si>
    <t>Lavatory Faucet</t>
  </si>
  <si>
    <t>15 sec; 12 sec with auto-control</t>
  </si>
  <si>
    <t>Shower</t>
  </si>
  <si>
    <t>300 sec</t>
  </si>
  <si>
    <t>Kitchen Sink</t>
  </si>
  <si>
    <t>15 sec</t>
  </si>
  <si>
    <t>Duration of Use 
(flow fixtures)</t>
  </si>
  <si>
    <t>(Source: Default Fixture Uses, LEED Reference Guide for Green Building and Construction, 2009)</t>
  </si>
  <si>
    <r>
      <rPr>
        <sz val="10"/>
        <color rgb="FF0070C0"/>
        <rFont val="Arial"/>
        <family val="2"/>
      </rPr>
      <t>Table W.2</t>
    </r>
    <r>
      <rPr>
        <sz val="10"/>
        <rFont val="Arial"/>
        <family val="2"/>
      </rPr>
      <t xml:space="preserve">: Baseline daily fixture uses for office, hospitals &amp; factory buildings </t>
    </r>
  </si>
  <si>
    <r>
      <rPr>
        <sz val="10"/>
        <color rgb="FF0070C0"/>
        <rFont val="Arial"/>
        <family val="2"/>
      </rPr>
      <t>Table W.3</t>
    </r>
    <r>
      <rPr>
        <sz val="10"/>
        <rFont val="Arial"/>
        <family val="2"/>
      </rPr>
      <t xml:space="preserve">: Baseline daily fixture uses for residential &amp; hotel buildings </t>
    </r>
  </si>
  <si>
    <t>Residents / Hotel Guests</t>
  </si>
  <si>
    <t>1 full-flush / 3 half-flushes</t>
  </si>
  <si>
    <t>1 full-flush / 2 half-flushes</t>
  </si>
  <si>
    <t>0.1 full-flush / 0.4 half-flushes</t>
  </si>
  <si>
    <t xml:space="preserve">1 full-flush </t>
  </si>
  <si>
    <t>Residents: 60 sec. Others: 15 sec or 12 sec with auto-control</t>
  </si>
  <si>
    <t>Residents: 480 sec. Others: 300 sec</t>
  </si>
  <si>
    <t>Clothes washer</t>
  </si>
  <si>
    <t>1 / living unit</t>
  </si>
  <si>
    <r>
      <rPr>
        <sz val="10"/>
        <color rgb="FF0070C0"/>
        <rFont val="Arial"/>
        <family val="2"/>
      </rPr>
      <t>Table W.4</t>
    </r>
    <r>
      <rPr>
        <sz val="10"/>
        <rFont val="Arial"/>
        <family val="2"/>
      </rPr>
      <t xml:space="preserve">: Baseline daily fixture uses for educational buildings </t>
    </r>
  </si>
  <si>
    <t>Students
(secondary &amp; post/secondary education)</t>
  </si>
  <si>
    <t xml:space="preserve">Students
(kindergarten and primary education
</t>
  </si>
  <si>
    <t>0.5 full-flush / 1 half-flushes</t>
  </si>
  <si>
    <t xml:space="preserve">0.5 full-flush </t>
  </si>
  <si>
    <t xml:space="preserve">Residents: 60 sec. Others: 15 sec </t>
  </si>
  <si>
    <r>
      <rPr>
        <sz val="10"/>
        <color rgb="FF0070C0"/>
        <rFont val="Arial"/>
        <family val="2"/>
      </rPr>
      <t>Table W.5</t>
    </r>
    <r>
      <rPr>
        <sz val="10"/>
        <rFont val="Arial"/>
        <family val="2"/>
      </rPr>
      <t xml:space="preserve">: Baseline daily fixture uses for retail buildings </t>
    </r>
  </si>
  <si>
    <t>Retail Customers</t>
  </si>
  <si>
    <t>0.1 full-flush / 0.1 half-flushes</t>
  </si>
  <si>
    <t>Fixtures Water Use</t>
  </si>
  <si>
    <t>WC (single/dual flush)</t>
  </si>
  <si>
    <t>6.0 L per flush (Lpf)</t>
  </si>
  <si>
    <t>Urinal (flush)</t>
  </si>
  <si>
    <t>3.79 Lpf</t>
  </si>
  <si>
    <t>Faucet (conventional)</t>
  </si>
  <si>
    <t>0.14 L/s</t>
  </si>
  <si>
    <t>Showerheads</t>
  </si>
  <si>
    <t>0.16 L/s</t>
  </si>
  <si>
    <t>Kitchen faucet</t>
  </si>
  <si>
    <t>120 L/load</t>
  </si>
  <si>
    <t>(Source: UPC and IPC Standards)</t>
  </si>
  <si>
    <r>
      <rPr>
        <sz val="10"/>
        <color rgb="FF0070C0"/>
        <rFont val="Arial"/>
        <family val="2"/>
      </rPr>
      <t>Table W.6</t>
    </r>
    <r>
      <rPr>
        <sz val="10"/>
        <rFont val="Arial"/>
        <family val="2"/>
      </rPr>
      <t xml:space="preserve">: Baseline fixtures water use </t>
    </r>
  </si>
  <si>
    <t>Students
(kindergarten and primary education)</t>
  </si>
  <si>
    <t>Students (secondary &amp; post/secondary education)</t>
  </si>
  <si>
    <t>Design Water Use per day (L)</t>
  </si>
  <si>
    <t>Baseline water use per day (L)</t>
  </si>
  <si>
    <t>Complete the LOTUS Water Calculation Tool to calculate the daily design and baseline water use through fixtures.</t>
  </si>
  <si>
    <t>Documentation already provided for the prerequisite.</t>
  </si>
  <si>
    <r>
      <rPr>
        <sz val="10"/>
        <color rgb="FF0070C0"/>
        <rFont val="Arial"/>
        <family val="2"/>
      </rPr>
      <t>Table W.1</t>
    </r>
    <r>
      <rPr>
        <sz val="10"/>
        <rFont val="Arial"/>
        <family val="2"/>
      </rPr>
      <t>: Requirements for water efficient appliances (Source: LEED ID+C v4)</t>
    </r>
  </si>
  <si>
    <t>Fixture type</t>
  </si>
  <si>
    <t>Water Use</t>
  </si>
  <si>
    <t>Dishwasher (undercounter)</t>
  </si>
  <si>
    <t>Combination oven (Roll-in)</t>
  </si>
  <si>
    <t>Combination oven (Countertop or stand)</t>
  </si>
  <si>
    <t>Food steamer (batch)</t>
  </si>
  <si>
    <t>Food steamer (Cook-to-order)</t>
  </si>
  <si>
    <t>Dishwasher (Flight machine)</t>
  </si>
  <si>
    <t>Dishwasher (Multiple tank, conveyor)</t>
  </si>
  <si>
    <t>Dishwasher (Single tank, conveyor)</t>
  </si>
  <si>
    <t>Dishwasher (Stationary, single tank, door)</t>
  </si>
  <si>
    <t xml:space="preserve"> liters/rack</t>
  </si>
  <si>
    <t>Energy Star or equivalent</t>
  </si>
  <si>
    <t xml:space="preserve">l per minute </t>
  </si>
  <si>
    <t>l per cubic meter of laundry</t>
  </si>
  <si>
    <t>liters/rack</t>
  </si>
  <si>
    <t>liters/hour</t>
  </si>
  <si>
    <t>liters/hour/pan</t>
  </si>
  <si>
    <t>l per load</t>
  </si>
  <si>
    <t>Residential dishwashers (standard and compact)</t>
  </si>
  <si>
    <t>Complete the Table below with information on all the process water fixtures:</t>
  </si>
  <si>
    <t>Prepare an on-going commissioning plan including post-occupancy analysis</t>
  </si>
  <si>
    <t>Compliant Commissioning ?</t>
  </si>
  <si>
    <t>Complete the table below with information on all the air-conditioning units installed in the space</t>
  </si>
  <si>
    <t xml:space="preserve">• Is the project located in Sapa, Đà Lạt or Tam Đảo ? </t>
  </si>
  <si>
    <t>Reply to the question below and complete the table below with information on all the occupied rooms of the space:</t>
  </si>
  <si>
    <r>
      <t xml:space="preserve"> Ventilation inlet openable area (m</t>
    </r>
    <r>
      <rPr>
        <vertAlign val="superscript"/>
        <sz val="10"/>
        <color indexed="9"/>
        <rFont val="Arial"/>
        <family val="2"/>
      </rPr>
      <t>2</t>
    </r>
    <r>
      <rPr>
        <sz val="10"/>
        <color indexed="9"/>
        <rFont val="Arial"/>
        <family val="2"/>
      </rPr>
      <t>)</t>
    </r>
  </si>
  <si>
    <r>
      <t xml:space="preserve"> Ventilation outlet openable area (m</t>
    </r>
    <r>
      <rPr>
        <vertAlign val="superscript"/>
        <sz val="10"/>
        <color indexed="9"/>
        <rFont val="Arial"/>
        <family val="2"/>
      </rPr>
      <t>2</t>
    </r>
    <r>
      <rPr>
        <sz val="10"/>
        <color indexed="9"/>
        <rFont val="Arial"/>
        <family val="2"/>
      </rPr>
      <t>)</t>
    </r>
  </si>
  <si>
    <t xml:space="preserve"> Ventilation inlet comply?</t>
  </si>
  <si>
    <t xml:space="preserve"> Ventilation outlet comply?</t>
  </si>
  <si>
    <t>Direct air flow path?</t>
  </si>
  <si>
    <t>Plan depth of the occupied room (m)</t>
  </si>
  <si>
    <t>Outlet openings located not lower than inlet openings?</t>
  </si>
  <si>
    <t>Ventilated through adjoining rooms?</t>
  </si>
  <si>
    <t>Room Comply?</t>
  </si>
  <si>
    <t>Hugo Fontourcy, Melissa Merryweather, Vũ Hồng Phong</t>
  </si>
  <si>
    <t>Đỗ Ngọc Diệp, Héloïse Pelen, Nguyen Van Muon, Nicolas Jallade, Patrick Bivona, Phạm Hoàng Trung, Tim Middleton, Samantha Miller, Yannick Millet</t>
  </si>
  <si>
    <t>• LOTUS Water Calculation Tool. The use of this tool is necessary to perform the calculations of water savings.</t>
  </si>
  <si>
    <t>Scope of the commissioning activities</t>
  </si>
  <si>
    <t>• Heating, ventilating, air conditioning and refrigeration (HVAC &amp; R) systems</t>
  </si>
  <si>
    <t xml:space="preserve">• Artificial lighting systems </t>
  </si>
  <si>
    <t>• Hot water systems</t>
  </si>
  <si>
    <t>• Metering and monitoring systems</t>
  </si>
  <si>
    <t>• Control systems</t>
  </si>
  <si>
    <t>• Renewable energy systems (for instance, wind, solar)</t>
  </si>
  <si>
    <t>• Plumbing systems</t>
  </si>
  <si>
    <r>
      <rPr>
        <b/>
        <sz val="10"/>
        <rFont val="Arial"/>
        <family val="2"/>
      </rPr>
      <t>Strategy D: HVAC Controls</t>
    </r>
    <r>
      <rPr>
        <sz val="10"/>
        <rFont val="Arial"/>
        <family val="2"/>
      </rPr>
      <t xml:space="preserve">
For 1 point, use variable speed controls on all the air-conditioning systems - AND / OR -
For 1 point, install a demand control ventilation system for spaces with special occupancies</t>
    </r>
  </si>
  <si>
    <t>• As-built window schedule indicating the number, location and size of all operable wall and roof openings</t>
  </si>
  <si>
    <t>Type of demand control ventilation</t>
  </si>
  <si>
    <t xml:space="preserve">CO2 Sensors </t>
  </si>
  <si>
    <t>Occupancy sensors</t>
  </si>
  <si>
    <t>Time-of-Day Schedules</t>
  </si>
  <si>
    <t>People Counters</t>
  </si>
  <si>
    <t>Provide controls capable of sensing space conditions and modulating the HVAC system in response to space demand. The following controls can be used:</t>
  </si>
  <si>
    <t>Compliant demand control ventilation ?</t>
  </si>
  <si>
    <t>Complete the Table below with information on all the different HVAC systems:</t>
  </si>
  <si>
    <t>Room type</t>
  </si>
  <si>
    <t>Reply to the question below:</t>
  </si>
  <si>
    <t>• Has a radiant cooling system been used?</t>
  </si>
  <si>
    <t xml:space="preserve">Use a radiant cooling system to meet the cooling demand or a part of the cooling demand of the project space. </t>
  </si>
  <si>
    <t>A radiant cooling system cools surfaces (floor or ceiling) rather than air like typical HVAC systems do.</t>
  </si>
  <si>
    <t>With radiant cooling systems, most of the cooling comes from removing sensible heat through radiant exchange with people and objects.</t>
  </si>
  <si>
    <t>This way, occupant thermal comfort can be achieved with warmer interior air temperatures than with air based cooling systems.</t>
  </si>
  <si>
    <t>• Which type of radiant cooling system has been used?</t>
  </si>
  <si>
    <t>• Describe the way the radiant cooling system operates:</t>
  </si>
  <si>
    <t>Compliant radiant cooling system ?</t>
  </si>
  <si>
    <t>Percentage of occupied areas with fans (%)</t>
  </si>
  <si>
    <t>For locations where the hottest month average maximum temperature is above 30°C, a space shall be considered to be naturally ventilated if it meets the following specifications:</t>
  </si>
  <si>
    <t xml:space="preserve">• Ventilation inlet: Inlet openings shall be placed on the windward side of the building. The total effective area of operable openings to the outside (inlet area) shall be no less than 5% of the floor area. These openings shall be readily accessible to occupants. The effective area of a window is defined as the physical area of the window open to the outdoors (this can be calculated using simple geometry). </t>
  </si>
  <si>
    <t xml:space="preserve">• Ventilation outlet: Outlet openings shall be placed on the leeward side of the building. The total effective area of operable openings through the ceiling or the opposite wall from the ventilation inlet (outlet area) shall be no less than the inlet area.  </t>
  </si>
  <si>
    <t>• There should be a direct and unobstructed route between the windward inlet and leeward outlet openings (direct path to the outside).</t>
  </si>
  <si>
    <t>• All area within any naturally-ventilated space shall be within 8 meters of (and permanently open to) an operable wall or roof opening.</t>
  </si>
  <si>
    <t>• Plan depth of the occupied space shall not be greater than 15m</t>
  </si>
  <si>
    <t>• Outlet openings shall be located not lower than inlet openings</t>
  </si>
  <si>
    <t>Describe the green cleaning procedures implemented:</t>
  </si>
  <si>
    <r>
      <t>Occupied area with compliant daylighting (m</t>
    </r>
    <r>
      <rPr>
        <vertAlign val="superscript"/>
        <sz val="11"/>
        <color theme="0"/>
        <rFont val="Arial"/>
        <family val="2"/>
      </rPr>
      <t>2</t>
    </r>
    <r>
      <rPr>
        <sz val="11"/>
        <color theme="0"/>
        <rFont val="Arial"/>
        <family val="2"/>
      </rPr>
      <t>)</t>
    </r>
  </si>
  <si>
    <t>• Manufacturer's data of all artificial lighting sources showing the CRI values</t>
  </si>
  <si>
    <t>This strategy can only be applied for air-conditioned spaces and mixed-mode ventilated spaces.</t>
  </si>
  <si>
    <r>
      <rPr>
        <b/>
        <sz val="10"/>
        <rFont val="Arial"/>
        <family val="2"/>
      </rPr>
      <t>Strategy B: Thermal Controls 
(only for air-conditioned spaces and mixed-mode ventilated spaces)</t>
    </r>
    <r>
      <rPr>
        <sz val="10"/>
        <rFont val="Arial"/>
        <family val="2"/>
      </rPr>
      <t xml:space="preserve">
Provide individual thermal comfort controls for at least 90% of individual occupant spaces
- AND - 
Provide group thermal comfort controls for all shared multi-occupant spaces</t>
    </r>
  </si>
  <si>
    <t>Provide individual thermal comfort controls for at least 90% of individual occupant spaces
- AND - 
Provide group thermal comfort controls for all shared multi-occupant spaces</t>
  </si>
  <si>
    <t>Occupied Room</t>
  </si>
  <si>
    <t>Occupancy</t>
  </si>
  <si>
    <t>Adjusted parameter</t>
  </si>
  <si>
    <t>Thermal control provided?</t>
  </si>
  <si>
    <t>Compliant thermal controls?</t>
  </si>
  <si>
    <r>
      <rPr>
        <b/>
        <sz val="10"/>
        <rFont val="Arial"/>
        <family val="2"/>
      </rPr>
      <t>Strategy C: Thermal Comfort Measurement
(only for air-conditioned spaces and mixed-mode ventilated spaces)</t>
    </r>
    <r>
      <rPr>
        <sz val="10"/>
        <rFont val="Arial"/>
        <family val="2"/>
      </rPr>
      <t xml:space="preserve">
95% of the occupied spaces shall meet with the following requirements:
A. Air temperature within spaces is ±1.5°C of the set temperature when the air side system is operating at steady state under normal occupied periods.
B. Relative humidity within spaces is less than 70%.
C. Air movement within spaces is less than 0.3 m/s</t>
    </r>
  </si>
  <si>
    <t>A. Air temperature within spaces is ±1.5°C of the set temperature when the air side system is operating at steady state under normal occupied periods.</t>
  </si>
  <si>
    <t>B. Relative humidity within spaces is less than 70%.</t>
  </si>
  <si>
    <t>C. Air movement within spaces is less than 0.3 m/s</t>
  </si>
  <si>
    <t>Conduct thermal comfort measurements and 95% of the occupied spaces shall meet with the following requirements:</t>
  </si>
  <si>
    <t>Setpoint</t>
  </si>
  <si>
    <t>Measured</t>
  </si>
  <si>
    <t>Relative humidity</t>
  </si>
  <si>
    <t>Air temperature (°C)</t>
  </si>
  <si>
    <t>Compliant thermal comfort measurement?</t>
  </si>
  <si>
    <t>Measurements should be carried in accordance with requirements set in sections 6 and 7 of TCXVN 306:2004 - Dwellings and Public Buildings - Parameters for Microclimates in Rooms.</t>
  </si>
  <si>
    <t>Spaces of the project comply with the requirements of TCXDVN 175:2005 -  Maximum Permitted Noise Levels for Public Buildings – Design Standard</t>
  </si>
  <si>
    <t>• People Counters: Infra-red or light beam sensor technology to count the number of people in a building space or the number of people that pass through a door.</t>
  </si>
  <si>
    <t xml:space="preserve">• Occupancy sensors that detect whether there are people in the zone or not can be used for certain zone types as an indicator of the approximate population in that zone. </t>
  </si>
  <si>
    <t>• Time-of-Day Schedules. For some zone types, such as school cafeterias or school lecture halls, a pretty accurate estimate of the daily zone population pattern can be obtained 
from simply using a time-of-day schedule.</t>
  </si>
  <si>
    <t>All the bathroom water fixtures installed by the project are water-efficient fixtures</t>
  </si>
  <si>
    <t xml:space="preserve"> Bathroom water fixtures include: water-closets, shower heads, bathroom taps and urinals.</t>
  </si>
  <si>
    <r>
      <rPr>
        <b/>
        <sz val="10"/>
        <rFont val="Arial"/>
        <family val="2"/>
      </rPr>
      <t>Strategy A2: Upgrade of base building water fixtures</t>
    </r>
    <r>
      <rPr>
        <sz val="10"/>
        <rFont val="Arial"/>
        <family val="2"/>
      </rPr>
      <t xml:space="preserve">
Replace or alter the base building water fixtures associated with the tenancy.</t>
    </r>
  </si>
  <si>
    <r>
      <rPr>
        <b/>
        <sz val="10"/>
        <rFont val="Arial"/>
        <family val="2"/>
      </rPr>
      <t>Strategy B1: Building Water Use</t>
    </r>
    <r>
      <rPr>
        <sz val="10"/>
        <rFont val="Arial"/>
        <family val="2"/>
      </rPr>
      <t xml:space="preserve">
For 1 point, domestic water consumption through base building water fixtures associated with the tenancy is reduced by 20% in comparison to a baseline model
1 point for every additional 10% reduction of the domestic water consumption through base building water fixtures (Up to 40%)</t>
    </r>
  </si>
  <si>
    <r>
      <rPr>
        <b/>
        <sz val="10"/>
        <rFont val="Arial"/>
        <family val="2"/>
      </rPr>
      <t>Strategy B2: Upgrade of base building water fixtures</t>
    </r>
    <r>
      <rPr>
        <sz val="10"/>
        <rFont val="Arial"/>
        <family val="2"/>
      </rPr>
      <t xml:space="preserve">
Replace or alter the base building water fixtures associated with the tenancy.</t>
    </r>
  </si>
  <si>
    <r>
      <rPr>
        <b/>
        <sz val="10"/>
        <rFont val="Arial"/>
        <family val="2"/>
      </rPr>
      <t>Strategy B3: Process Water Use</t>
    </r>
    <r>
      <rPr>
        <sz val="10"/>
        <rFont val="Arial"/>
        <family val="2"/>
      </rPr>
      <t xml:space="preserve">
Install water efficient appliances to reduce process water use</t>
    </r>
  </si>
  <si>
    <t>• Urinals with flush rates lower than (or equal to) 3.79 litres per flush</t>
  </si>
  <si>
    <t xml:space="preserve">• Dual flush WCs with flush rates lower than (or equal to) 3 / 6 litres per flush </t>
  </si>
  <si>
    <t>Install water-efficient bathroom water fixtures.</t>
  </si>
  <si>
    <r>
      <rPr>
        <sz val="12"/>
        <color indexed="9"/>
        <rFont val="Arial"/>
        <family val="2"/>
      </rPr>
      <t xml:space="preserve">Urinals
</t>
    </r>
    <r>
      <rPr>
        <sz val="10"/>
        <color indexed="9"/>
        <rFont val="Arial"/>
        <family val="2"/>
      </rPr>
      <t>Fixture Name</t>
    </r>
  </si>
  <si>
    <t>Maximum flush rate [L/flush]</t>
  </si>
  <si>
    <t>Water-efficient bathroom water fixtures?</t>
  </si>
  <si>
    <t>Flush rate 
[L/flush]</t>
  </si>
  <si>
    <t xml:space="preserve">The aim of this calculation is to compare the water consumption through fixtures to a baseline model. </t>
  </si>
  <si>
    <t>Strategy B1: Building Water Use</t>
  </si>
  <si>
    <t>Replace or alter the water fixtures of the base building associated with the tenancy (i.e. project occupants need to use these fixtures) to reduce water consumption through fixtures.</t>
  </si>
  <si>
    <t>Base building water fixtures improved?</t>
  </si>
  <si>
    <t>Option B: Projects with no provision of bathroom water fixtures</t>
  </si>
  <si>
    <t>W-1 Water efficient fixtures PR</t>
  </si>
  <si>
    <t>W-1 Water efficient fixtures Strategy A2 / B2</t>
  </si>
  <si>
    <t>W-1 Water efficient fixtures A3/B3</t>
  </si>
  <si>
    <t>Strategy B3: Process Water Use</t>
  </si>
  <si>
    <t>86 points are available in LOTUS Interiors (including 6 bonus points coming from the Innovation category).</t>
  </si>
  <si>
    <t>• Bathroom taps with flowrate lower than (or equal to) 0.12 litres per second</t>
  </si>
  <si>
    <t>This strategy is only available to projects using some water appliances for process use as listed in table W.1</t>
  </si>
  <si>
    <t>Efficient water appliances for process use?</t>
  </si>
  <si>
    <t>Click on the links on 
the right to navigate to
other Energy credits</t>
  </si>
  <si>
    <t>Click on the links on 
the right to navigate to 
other Materials credits</t>
  </si>
  <si>
    <t>Click on the links on the 
right to navigate to other 
Health &amp; Comfort credits</t>
  </si>
  <si>
    <t>Commissioning process</t>
  </si>
  <si>
    <t>List of equipment commissioned</t>
  </si>
  <si>
    <t>Complete the information below on the site safety and welfare strategies:</t>
  </si>
  <si>
    <t>Provided?</t>
  </si>
  <si>
    <t>• Toilets</t>
  </si>
  <si>
    <t>• Washing facilities</t>
  </si>
  <si>
    <t>• Drinking water</t>
  </si>
  <si>
    <t>• Changing rooms</t>
  </si>
  <si>
    <t>• Rest facilities</t>
  </si>
  <si>
    <t>• Others. Precise:</t>
  </si>
  <si>
    <t>Site amenities for construction workers</t>
  </si>
  <si>
    <t xml:space="preserve">Strategies to meet the safety requirements outlined in Circular No. 22/2010/TT-BXD on Labor Safety in Work Construction </t>
  </si>
  <si>
    <t>• Energy and water metering and data reporting requirements</t>
  </si>
  <si>
    <t>• Environmental Management Plan including requirements on water</t>
  </si>
  <si>
    <t>• Environmental Management Plan including requirements on energy</t>
  </si>
  <si>
    <t>• Environmental Management Plan including requirements on waste reduction/recycling</t>
  </si>
  <si>
    <t xml:space="preserve">• Environmental management plan including requirements for ongoing sustainable building management and operation on energy, water and waste reduction/recycling. </t>
  </si>
  <si>
    <t>• Copy (or extracts) of the lease agreement showing the elements specific to a Green lease - OR - copy of a signed agreement between the landlord and tenant following requirements</t>
  </si>
  <si>
    <t>Complete the information below on thermal comfort measurement:</t>
  </si>
  <si>
    <t>Thermal zone</t>
  </si>
  <si>
    <t xml:space="preserve">Number of unmet load hours </t>
  </si>
  <si>
    <t>• Air-conditioned spaces and mixed-mode ventilated spaces:</t>
  </si>
  <si>
    <t>• Non-air-conditioned spaces:</t>
  </si>
  <si>
    <t>Click on the links on the 
right to navigate to other 
Management credits</t>
  </si>
  <si>
    <t>• Not available in the draft version of LOTUS Interiors Pilot</t>
  </si>
  <si>
    <t>• Management/disposal of hazardous waste (such as batteries, light fittings, cooking oil, etc.)</t>
  </si>
  <si>
    <t>• Application and Registration</t>
  </si>
  <si>
    <t>• Provisional Certification (optional)</t>
  </si>
  <si>
    <t>• Full Certification stage</t>
  </si>
  <si>
    <t>H-10 Strategy A</t>
  </si>
  <si>
    <t>H-10 Strategy B</t>
  </si>
  <si>
    <t>H-10 Strategy C</t>
  </si>
  <si>
    <t>Hire a qualified and independent commissioning agent to supervise the commissioning activities</t>
  </si>
  <si>
    <t>Correction factor (dB,A)</t>
  </si>
  <si>
    <t>Measured noise level</t>
  </si>
  <si>
    <t xml:space="preserve">Maximum noise level
(dB,A) </t>
  </si>
  <si>
    <t>Complete the table below with information on the noise levels in all the occupied rooms:</t>
  </si>
  <si>
    <t>Compliant individual controls?</t>
  </si>
  <si>
    <r>
      <rPr>
        <sz val="10"/>
        <rFont val="Calibri"/>
        <family val="2"/>
      </rPr>
      <t>•</t>
    </r>
    <r>
      <rPr>
        <sz val="10"/>
        <rFont val="Arial"/>
        <family val="2"/>
      </rPr>
      <t xml:space="preserve"> individual desk lamps </t>
    </r>
  </si>
  <si>
    <t>Design the interior project space to avoid overheating in the occupied spaces under hot summer conditions.</t>
  </si>
  <si>
    <t xml:space="preserve">During cooling period, air-conditioning systems shall be designed to maintain consistent indoor conditions with an operative temperature set between 24° to 26°C and a relative humidity set below 70%. </t>
  </si>
  <si>
    <t xml:space="preserve">A building energy simulation should be performed to demonstrate that the selected indoor conditions will be maintained consistently and that the number of unmet load hours (hour in which one or more zones is outside of the thermostat setpoint range) will not exceed 2% of the occupied hours during the cooling period. </t>
  </si>
  <si>
    <t xml:space="preserve">A. Indoor air velocity </t>
  </si>
  <si>
    <t>B. Reduction of external (solar) heat gains</t>
  </si>
  <si>
    <t>C. Reduction of internal heat gains</t>
  </si>
  <si>
    <t>- 50% of all the equipment installed have an energy label</t>
  </si>
  <si>
    <t>- average daylight factor is between 1.5% and 3.5%</t>
  </si>
  <si>
    <t>- exterior walls and roofs surrounding the space have a solar reflectivity &gt; 0.7 or are vegetated or have external shadings</t>
  </si>
  <si>
    <t>http://comfort.cbe.berkeley.edu/</t>
  </si>
  <si>
    <t>• dwelling-units in apartment buildings</t>
  </si>
  <si>
    <r>
      <rPr>
        <b/>
        <sz val="11"/>
        <rFont val="Calibri"/>
        <family val="2"/>
      </rPr>
      <t>•</t>
    </r>
    <r>
      <rPr>
        <b/>
        <sz val="11"/>
        <color rgb="FF58AB27"/>
        <rFont val="Calibri"/>
        <family val="2"/>
      </rPr>
      <t xml:space="preserve"> </t>
    </r>
    <r>
      <rPr>
        <b/>
        <sz val="11"/>
        <color rgb="FF58AB27"/>
        <rFont val="Calibri"/>
        <family val="2"/>
        <scheme val="minor"/>
      </rPr>
      <t>Energy (E)</t>
    </r>
    <r>
      <rPr>
        <sz val="11"/>
        <color theme="1"/>
        <rFont val="Calibri"/>
        <family val="2"/>
        <scheme val="minor"/>
      </rPr>
      <t xml:space="preserve"> - To monitor and reduce the energy consumption through the use of natural ventilation and the installation of energy efficient equipment (HVAC, lighting, etc.).</t>
    </r>
  </si>
  <si>
    <r>
      <rPr>
        <b/>
        <sz val="11"/>
        <rFont val="Calibri"/>
        <family val="2"/>
        <scheme val="minor"/>
      </rPr>
      <t>•</t>
    </r>
    <r>
      <rPr>
        <b/>
        <sz val="11"/>
        <color rgb="FF76923C"/>
        <rFont val="Calibri"/>
        <family val="2"/>
        <scheme val="minor"/>
      </rPr>
      <t xml:space="preserve"> </t>
    </r>
    <r>
      <rPr>
        <b/>
        <sz val="11"/>
        <color rgb="FF4A442A"/>
        <rFont val="Calibri"/>
        <family val="2"/>
        <scheme val="minor"/>
      </rPr>
      <t>Waste &amp; Pollution (WP)</t>
    </r>
    <r>
      <rPr>
        <sz val="11"/>
        <rFont val="Calibri"/>
        <family val="2"/>
        <scheme val="minor"/>
      </rPr>
      <t xml:space="preserve"> - To promote the reduction and recycling of waste during the construction and the operation of a building, as well as limiting the atmospheric impact due to the use of refrigerants.</t>
    </r>
  </si>
  <si>
    <r>
      <rPr>
        <b/>
        <sz val="11"/>
        <rFont val="Calibri"/>
        <family val="2"/>
        <scheme val="minor"/>
      </rPr>
      <t>•</t>
    </r>
    <r>
      <rPr>
        <b/>
        <sz val="11"/>
        <color rgb="FF943634"/>
        <rFont val="Calibri"/>
        <family val="2"/>
        <scheme val="minor"/>
      </rPr>
      <t xml:space="preserve"> Health and Comfort (H) </t>
    </r>
    <r>
      <rPr>
        <sz val="11"/>
        <rFont val="Calibri"/>
        <family val="2"/>
        <scheme val="minor"/>
      </rPr>
      <t xml:space="preserve"> - To ensure high indoor environmental quality, through the optimization of the indoor air quality, daylighting and views, and occupant comfort.</t>
    </r>
  </si>
  <si>
    <r>
      <rPr>
        <b/>
        <sz val="11"/>
        <rFont val="Calibri"/>
        <family val="2"/>
        <scheme val="minor"/>
      </rPr>
      <t>•</t>
    </r>
    <r>
      <rPr>
        <b/>
        <sz val="11"/>
        <color rgb="FF76923C"/>
        <rFont val="Calibri"/>
        <family val="2"/>
        <scheme val="minor"/>
      </rPr>
      <t xml:space="preserve"> Location &amp; Transportation (LT)</t>
    </r>
    <r>
      <rPr>
        <sz val="11"/>
        <rFont val="Calibri"/>
        <family val="2"/>
        <scheme val="minor"/>
      </rPr>
      <t xml:space="preserve"> - To encourage the selection of a base building and lease types that will help to improve the sustainability performance of the project, as well as developing green transportation and providing access to facilities and amenities for the occupants.</t>
    </r>
  </si>
  <si>
    <r>
      <rPr>
        <b/>
        <sz val="11"/>
        <rFont val="Calibri"/>
        <family val="2"/>
        <scheme val="minor"/>
      </rPr>
      <t xml:space="preserve">• </t>
    </r>
    <r>
      <rPr>
        <b/>
        <sz val="11"/>
        <color rgb="FF984806"/>
        <rFont val="Calibri"/>
        <family val="2"/>
        <scheme val="minor"/>
      </rPr>
      <t>Management (Man)</t>
    </r>
    <r>
      <rPr>
        <sz val="11"/>
        <rFont val="Calibri"/>
        <family val="2"/>
        <scheme val="minor"/>
      </rPr>
      <t xml:space="preserve"> - To ensure that, throughout the project, all targets set up for the various stages (design, construction, commissioning and operation) are effectively managed</t>
    </r>
  </si>
  <si>
    <t xml:space="preserve">On receipt of the application form, the VGBC will check that it is complete and all supporting information has been provided. </t>
  </si>
  <si>
    <t>Round 1</t>
  </si>
  <si>
    <t>The Applicant Representative submits the fully completed User Tool along with all required documentation (as specified in the ‘Submissions’ section of credits).</t>
  </si>
  <si>
    <t>Round 2</t>
  </si>
  <si>
    <t xml:space="preserve">In case that submission for any credit submitted for LOTUS Certification is denied at Round 1, or if the Applicant would like the opportunity to score higher for that credit, a second round of submissions for re-assessment is available to projects. This round will give the possibility to provide further evidence to demonstrate to the VGBC that pending credits have finally been achieved. </t>
  </si>
  <si>
    <t>Results of the assessment will be provided to the Applicant Representative within 6 weeks of the submission date. In special cases further appeals and/or applications may be permitted, however these may generate additional fees.</t>
  </si>
  <si>
    <t>Provisional Certificate</t>
  </si>
  <si>
    <t>At the end of the Round 1 or Round 2 or after the appeal procedure, if all necessary evidence is compliant with LOTUS requirements, LOTUS Provisional Certification can be awarded.</t>
  </si>
  <si>
    <t>LOTUS Provisional Certification is valid for a maximum of 1 year after the completion of the fit-out and allows for marketing opportunities prior to fit-out completion.</t>
  </si>
  <si>
    <t xml:space="preserve">The assessment process for LOTUS Full Certificate is the same as the LOTUS Provisional Certificate and consists also of two rounds of assessment and one potential appeal procedure. </t>
  </si>
  <si>
    <t xml:space="preserve">The difference is that instead of verifying design documentation, the LOTUS Full Certificate assessment verifies as-built and as-installed evidence. </t>
  </si>
  <si>
    <t xml:space="preserve">At the Full Certificate assessment, in case of deviation or addition from the design stage, it is possible for a project to lose credits that were gained in the Provisional Certificate stage but also to gain extra credits for which evidence can be provided. </t>
  </si>
  <si>
    <t>The assessment for LOTUS Full Certification is to be undertaken within 1 year of the completion of the fit-out.</t>
  </si>
  <si>
    <t>Full Certificate</t>
  </si>
  <si>
    <t xml:space="preserve">The LOTUS Full Certificate will be issued by the VGBC upon successful completion of this final assessment. Projects will be issued with LOTUS Certified, LOTUS Silver, LOTUS Gold or LOTUS Platinum certificates depending on the number of points achieved. </t>
  </si>
  <si>
    <t xml:space="preserve">After Full certification, VGBC request that the interior space tenant provides monthly energy and water consumption data on a yearly basis, for the duration of the LOTUS Interiors Full Certification. </t>
  </si>
  <si>
    <t>To encourage the selection of a base building and lease types that will help to improve the sustainability performance of the project, as well as developing green transportation and providing access to facilities and amenities for the occupants.</t>
  </si>
  <si>
    <t>Click on the links on 
the right to navigate to 
other Water credits</t>
  </si>
  <si>
    <t>Click on the links on 
the right to navigate to
 other Water credits</t>
  </si>
  <si>
    <t>Step 1: define the project: interior space type, number of floors, number and type of rooms, GFA, etc.</t>
  </si>
  <si>
    <t>• Does the tenant mainly want to decrease operational costs (through energy and water savings)?</t>
  </si>
  <si>
    <t xml:space="preserve">• Does the tenant mainly want to improve comfort (improve ventilation, daylight, vegetation, etc.)? </t>
  </si>
  <si>
    <t>• Does the tenant mainly want to limit environmantal impacts?</t>
  </si>
  <si>
    <t>LOTUS AP (if any)</t>
  </si>
  <si>
    <t>The Project Information sheet fully completeed</t>
  </si>
  <si>
    <t>Consistent information throughout the credits (for example, same information input on lighting fixtures in credit E-2 Artificial Lighting and Credit H-9 Lighting Comfort)</t>
  </si>
  <si>
    <t>Submit the completed User Tool by email to: certification@vgbc.org.vn</t>
  </si>
  <si>
    <t xml:space="preserve">Completed credit sheets for all targeted credits </t>
  </si>
  <si>
    <t>Inside of documents submitted, highlight the relevant information for LOTUS credits where suitable</t>
  </si>
  <si>
    <t>Documents are clearly named with a reference to the credit (for example, E-2 - Manufacturer's data of HVAC system, H-9 - Tender stage interior lighting drawings)</t>
  </si>
  <si>
    <t>Documents are clearly named with a reference to the credit (for example, E-2 - Manufacturer's data of HVAC system, H-9 - As-built interior lighting drawings)</t>
  </si>
  <si>
    <t>Also, submit the following:</t>
  </si>
  <si>
    <t>Green Cleaning</t>
  </si>
  <si>
    <t>Post-occupancy Comfort</t>
  </si>
  <si>
    <t>Base Building Green Attributes</t>
  </si>
  <si>
    <t>Tenancy Lease</t>
  </si>
  <si>
    <t>Green Transportation</t>
  </si>
  <si>
    <t>Facilities and Amenities for Occupants</t>
  </si>
  <si>
    <t>CO2 Monitoring</t>
  </si>
  <si>
    <t>Pre-coccupancy Removal of Pollutants</t>
  </si>
  <si>
    <t>• Storage units (cabinets, lockers, dressers, closets, chess, bookcases, pantries, etc.)</t>
  </si>
  <si>
    <r>
      <rPr>
        <b/>
        <sz val="11"/>
        <rFont val="Calibri"/>
        <family val="2"/>
        <scheme val="minor"/>
      </rPr>
      <t>•</t>
    </r>
    <r>
      <rPr>
        <b/>
        <sz val="11"/>
        <color rgb="FF0070C0"/>
        <rFont val="Calibri"/>
        <family val="2"/>
        <scheme val="minor"/>
      </rPr>
      <t xml:space="preserve"> Water (W)</t>
    </r>
    <r>
      <rPr>
        <sz val="11"/>
        <rFont val="Calibri"/>
        <family val="2"/>
        <scheme val="minor"/>
      </rPr>
      <t xml:space="preserve"> - To reduce the water consumption through the use of water-efficient fixtures and to reduce consumption of bottled drinking water.</t>
    </r>
  </si>
  <si>
    <t>To reduce the water consumption through the use of water-efficient fixtures and to reduce consumption of bottled drinking water.</t>
  </si>
  <si>
    <t>To monitor and reduce the energy consumption through the use of natural ventilation and the installation of energy efficient equipment (HVAC, lighting, appliances, etc.).</t>
  </si>
  <si>
    <t>To reduce the use of high embodied energy materials, maximize the use of re-used and/or recycled materials and encourage a wider use of sustainable materials.</t>
  </si>
  <si>
    <t>To promote the reduction and recycling of waste during the construction and the operation of a building, as well as limiting the atmospheric impact due to the use of refrigerants.</t>
  </si>
  <si>
    <t>To ensure high indoor environmental quality, through the optimization of the indoor air quality, daylighting and views, and occupant comfort.</t>
  </si>
  <si>
    <r>
      <t>Area with quality views (m</t>
    </r>
    <r>
      <rPr>
        <vertAlign val="superscript"/>
        <sz val="10"/>
        <color theme="0"/>
        <rFont val="Arial"/>
        <family val="2"/>
      </rPr>
      <t>2</t>
    </r>
    <r>
      <rPr>
        <sz val="10"/>
        <color theme="0"/>
        <rFont val="Arial"/>
        <family val="2"/>
      </rPr>
      <t>)</t>
    </r>
  </si>
  <si>
    <t>To qualify as an area with quality views, the area must at least meet two of the following requirements:</t>
  </si>
  <si>
    <t>• have a direct line of sight to an external view that is unobstructed for at least 8 meters from the exterior of the glazing,</t>
  </si>
  <si>
    <t>• have a direct line of sight to an external view that includes vegetation, fauna or sky,</t>
  </si>
  <si>
    <t>• have a direct line of sight to an external view that includes movement,</t>
  </si>
  <si>
    <r>
      <t>Areas with quality views (m</t>
    </r>
    <r>
      <rPr>
        <vertAlign val="superscript"/>
        <sz val="10"/>
        <color theme="0"/>
        <rFont val="Arial"/>
        <family val="2"/>
      </rPr>
      <t>2</t>
    </r>
    <r>
      <rPr>
        <sz val="10"/>
        <color theme="0"/>
        <rFont val="Arial"/>
        <family val="2"/>
      </rPr>
      <t>)</t>
    </r>
  </si>
  <si>
    <t>• have multiple lines of sight to the outdoors via vision glazing in different directions at least 90 degrees apart.</t>
  </si>
  <si>
    <t>Type of quality view 1</t>
  </si>
  <si>
    <t>Type of quality view 2</t>
  </si>
  <si>
    <t>The direct lines of sight to the outdoors must be determined as follows:</t>
  </si>
  <si>
    <t>When more than 75% of a room’s floor area has a direct line of sight to the outdoors, the entire room floor area is counted towards having a view to the outdoors.</t>
  </si>
  <si>
    <t>When more than 75% of a room’s floor area has quality views, the entire room floor area is counted towards having quality views and is compliant.</t>
  </si>
  <si>
    <t>HVAC systems installed and managed by the base building can be used for compliance as long as they serve the project space.</t>
  </si>
  <si>
    <r>
      <rPr>
        <i/>
        <sz val="10"/>
        <color rgb="FF58AB27"/>
        <rFont val="Arial"/>
        <family val="2"/>
      </rPr>
      <t>Table E.3</t>
    </r>
    <r>
      <rPr>
        <i/>
        <sz val="10"/>
        <rFont val="Arial"/>
        <family val="2"/>
      </rPr>
      <t>: Maximum LPD Values for different types of building (VBEEC Table 2.12)</t>
    </r>
  </si>
  <si>
    <t>The Project Information sheet fully completed</t>
  </si>
  <si>
    <t>Complete the Table below with the following inputs on all the air-conditioning systems installed:</t>
  </si>
  <si>
    <t>Maximum distance from an opening (m)</t>
  </si>
  <si>
    <r>
      <t>Size of the opening between rooms (m</t>
    </r>
    <r>
      <rPr>
        <vertAlign val="superscript"/>
        <sz val="10"/>
        <color indexed="9"/>
        <rFont val="Arial"/>
        <family val="2"/>
      </rPr>
      <t>2</t>
    </r>
    <r>
      <rPr>
        <sz val="10"/>
        <color indexed="9"/>
        <rFont val="Arial"/>
        <family val="2"/>
      </rPr>
      <t>)</t>
    </r>
  </si>
  <si>
    <t>Mechanically ventilated spaces:</t>
  </si>
  <si>
    <t>Mixed-mode ventilated spaces:</t>
  </si>
  <si>
    <t>Complete the Table below with information on all the occupied rooms with natural ventilation and mixed-mode ventilation:</t>
  </si>
  <si>
    <t>Naturally ventilated and mixed-mode ventilated spaces:</t>
  </si>
  <si>
    <t>Mechanically ventilated and mixed-mode ventilated spaces:</t>
  </si>
  <si>
    <t>Compliant with a recognised standard?</t>
  </si>
  <si>
    <t>Types of Ventilation</t>
  </si>
  <si>
    <t>• Mechanically ventilated spaces</t>
  </si>
  <si>
    <t>• Naturally ventilated spaces</t>
  </si>
  <si>
    <t>• Mixed-mode ventilated spaces</t>
  </si>
  <si>
    <t>Included in the project?</t>
  </si>
  <si>
    <t>Complete the Table below with information on the types of ventilation included in the project:</t>
  </si>
  <si>
    <t>Products which are not certified by a recognized green labelling scheme but can justify compliance with the Green Specifications of a recognized green labelling scheme will be considered as Environmentally friendly cleaning products under LOTUS.</t>
  </si>
  <si>
    <t>Calculations for this credit can be done using a daylight modelling software or using spreadsheet calculations (table below)</t>
  </si>
  <si>
    <t>• Lines of sight can pass through 2 interior glazing surfaces, but not a doorway with a solid door. Moveable partitions and non-fixed furniture shall not be taken into account.</t>
  </si>
  <si>
    <t>• Lines of sight begin at 45 degrees from the edge of each external view</t>
  </si>
  <si>
    <r>
      <rPr>
        <b/>
        <sz val="10"/>
        <rFont val="Arial"/>
        <family val="2"/>
      </rPr>
      <t xml:space="preserve">Strategy B : Quality views </t>
    </r>
    <r>
      <rPr>
        <sz val="10"/>
        <rFont val="Arial"/>
        <family val="2"/>
      </rPr>
      <t xml:space="preserve">
60% of the net occupied area has quality views</t>
    </r>
  </si>
  <si>
    <r>
      <rPr>
        <b/>
        <sz val="10"/>
        <rFont val="Arial"/>
        <family val="2"/>
      </rPr>
      <t>Strategy A : External views</t>
    </r>
    <r>
      <rPr>
        <sz val="10"/>
        <rFont val="Arial"/>
        <family val="2"/>
      </rPr>
      <t xml:space="preserve">
For 1 point, 60% of the net occupied area achieves a direct line of sight to the outdoors via vision glazing
For 2 points, 80% of the net occupied area achieves a direct line of sight to the outdoors via vision glazing</t>
    </r>
  </si>
  <si>
    <t>Average reverberation time (T60) in the occupied spaces of the project should be lower than values in Table H.9.</t>
  </si>
  <si>
    <t>Application</t>
  </si>
  <si>
    <r>
      <t>T</t>
    </r>
    <r>
      <rPr>
        <vertAlign val="subscript"/>
        <sz val="10"/>
        <color rgb="FFFFFFFF"/>
        <rFont val="Arial"/>
        <family val="2"/>
      </rPr>
      <t>60</t>
    </r>
    <r>
      <rPr>
        <sz val="10"/>
        <color rgb="FFFFFFFF"/>
        <rFont val="Arial"/>
        <family val="2"/>
      </rPr>
      <t xml:space="preserve"> (sec)</t>
    </r>
  </si>
  <si>
    <t>Apartment and condominium</t>
  </si>
  <si>
    <t>&lt; 0.6</t>
  </si>
  <si>
    <t>Hotel/motel</t>
  </si>
  <si>
    <t>Individual room or suite</t>
  </si>
  <si>
    <t>Meeting or banquet room</t>
  </si>
  <si>
    <t>&lt; 0.8</t>
  </si>
  <si>
    <t>Office building</t>
  </si>
  <si>
    <t>Executive or private office</t>
  </si>
  <si>
    <t>Conference or Teleconference room</t>
  </si>
  <si>
    <t xml:space="preserve">Open-plan office </t>
  </si>
  <si>
    <t>Hospital &amp; Clinic</t>
  </si>
  <si>
    <t>Private rooms</t>
  </si>
  <si>
    <t>Wards</t>
  </si>
  <si>
    <t>Courtroom</t>
  </si>
  <si>
    <t>Unamplified speech</t>
  </si>
  <si>
    <t>&lt; 0.7</t>
  </si>
  <si>
    <t>Amplified speech</t>
  </si>
  <si>
    <t>&lt; 1.0</t>
  </si>
  <si>
    <t>Performing arts space</t>
  </si>
  <si>
    <t>Drama theaters, concert and recital halls</t>
  </si>
  <si>
    <t>Varies by application</t>
  </si>
  <si>
    <t>Laboratories</t>
  </si>
  <si>
    <t>Testing or research with minimal speech communication</t>
  </si>
  <si>
    <t>Extensive phone use and speech communication</t>
  </si>
  <si>
    <t>Library</t>
  </si>
  <si>
    <t>Indoor stadium, gymnasium</t>
  </si>
  <si>
    <t>Gymnasium and natatorium</t>
  </si>
  <si>
    <t>&lt; 2.0</t>
  </si>
  <si>
    <t>Large-capacity space with speech amplification</t>
  </si>
  <si>
    <t>&lt; 1.5</t>
  </si>
  <si>
    <t>Classroom</t>
  </si>
  <si>
    <t>Large lecture room with speech amplification</t>
  </si>
  <si>
    <t>Large lecture room without speech amplification</t>
  </si>
  <si>
    <r>
      <rPr>
        <i/>
        <sz val="10"/>
        <color rgb="FF943634"/>
        <rFont val="Arial"/>
        <family val="2"/>
      </rPr>
      <t>Table H.9</t>
    </r>
    <r>
      <rPr>
        <i/>
        <sz val="10"/>
        <rFont val="Arial"/>
        <family val="2"/>
      </rPr>
      <t>: Reverberation time requirements</t>
    </r>
  </si>
  <si>
    <t>List of occupied rooms included in the thermal zone</t>
  </si>
  <si>
    <r>
      <t>Occupied area in the thermal zone (m</t>
    </r>
    <r>
      <rPr>
        <vertAlign val="superscript"/>
        <sz val="10"/>
        <color indexed="9"/>
        <rFont val="Arial"/>
        <family val="2"/>
      </rPr>
      <t>2</t>
    </r>
    <r>
      <rPr>
        <sz val="10"/>
        <color indexed="9"/>
        <rFont val="Arial"/>
        <family val="2"/>
      </rPr>
      <t>)</t>
    </r>
  </si>
  <si>
    <t>School2</t>
  </si>
  <si>
    <t>School3</t>
  </si>
  <si>
    <t>Indoor stadium, gymnasium2</t>
  </si>
  <si>
    <t>Laboratories2</t>
  </si>
  <si>
    <t>Courtroom2</t>
  </si>
  <si>
    <t>Hospital &amp; Clinic2</t>
  </si>
  <si>
    <t>Office building2</t>
  </si>
  <si>
    <t>Office building3</t>
  </si>
  <si>
    <t>Hotel/motel2</t>
  </si>
  <si>
    <t>Reverberation time requirements (T60)</t>
  </si>
  <si>
    <t>Complete the table below with information on the lighting controls/systems installed to adjust light levels in the occupied spaces of the project:</t>
  </si>
  <si>
    <t>H-9 Lighting Comfort - Strategy B Light Distribution</t>
  </si>
  <si>
    <t>Building type</t>
  </si>
  <si>
    <t>Space function</t>
  </si>
  <si>
    <t>Minimum illuminance uniformity</t>
  </si>
  <si>
    <t>Lighting types considered</t>
  </si>
  <si>
    <t>Plane</t>
  </si>
  <si>
    <t>Exceptions</t>
  </si>
  <si>
    <t>Work space</t>
  </si>
  <si>
    <t>All</t>
  </si>
  <si>
    <t>individual work surface</t>
  </si>
  <si>
    <t>General lighting</t>
  </si>
  <si>
    <t>Industrial building</t>
  </si>
  <si>
    <t>Workshop space</t>
  </si>
  <si>
    <t>working plane</t>
  </si>
  <si>
    <t>Educational premises</t>
  </si>
  <si>
    <t>Classroom, lecture hall</t>
  </si>
  <si>
    <t>plane of the desks</t>
  </si>
  <si>
    <t>IT room</t>
  </si>
  <si>
    <t>Arts room</t>
  </si>
  <si>
    <t>relevant plane</t>
  </si>
  <si>
    <t>Science laboratory</t>
  </si>
  <si>
    <t>Seminar room</t>
  </si>
  <si>
    <t>task area</t>
  </si>
  <si>
    <t>Assembly hall</t>
  </si>
  <si>
    <t>Music room</t>
  </si>
  <si>
    <t>Drama studio</t>
  </si>
  <si>
    <t>Illuminance to be provided on the merchandise</t>
  </si>
  <si>
    <t>accent and display lighting is used</t>
  </si>
  <si>
    <t>Hospitals</t>
  </si>
  <si>
    <t>Corridors</t>
  </si>
  <si>
    <t>Floor level</t>
  </si>
  <si>
    <t>Combination of general and task lighting</t>
  </si>
  <si>
    <t>General area of the bed</t>
  </si>
  <si>
    <t>Classroom used for adult education</t>
  </si>
  <si>
    <t>Where
accent and display lighting is used</t>
  </si>
  <si>
    <t>Recommended  illuminance uniformity</t>
  </si>
  <si>
    <t>Install electric vehicle charging stations for 3% of the full-time occupants of the project space.</t>
  </si>
  <si>
    <r>
      <rPr>
        <b/>
        <sz val="10"/>
        <rFont val="Arial"/>
        <family val="2"/>
      </rPr>
      <t xml:space="preserve">Strategy D: Electric vehicle charging stations </t>
    </r>
    <r>
      <rPr>
        <sz val="10"/>
        <rFont val="Arial"/>
        <family val="2"/>
      </rPr>
      <t xml:space="preserve"> 
Install electric vehicle charging stations for 3% of the full-time occupants of the project </t>
    </r>
  </si>
  <si>
    <t>Reply to the questions below on electric vehicle charging stations:</t>
  </si>
  <si>
    <t>Number of electric vehicle charging stations</t>
  </si>
  <si>
    <t xml:space="preserve">- requirements of credit E-1 Strategy A on natural ventilation are met </t>
  </si>
  <si>
    <t xml:space="preserve">For any enquiries about LOTUS Interiors, please contact VGBC at: </t>
  </si>
  <si>
    <t>Information on the fine-tuning of all the commissioned systems</t>
  </si>
  <si>
    <t xml:space="preserve">Information on the measurement and monitoring </t>
  </si>
  <si>
    <t>Information on the interviews and/or surveys with all concerned parties and occupants</t>
  </si>
  <si>
    <t>Compliant on-going commissioning plan ?</t>
  </si>
  <si>
    <t>Select the method pursued:</t>
  </si>
  <si>
    <t>Complete the Table below with information on all non-air-conditioned occupied rooms:</t>
  </si>
  <si>
    <t xml:space="preserve">Compliance with Section 5.3 of ASHRAE 55-2004 (adaptive method) can be verified at this address: </t>
  </si>
  <si>
    <t>• Non-air-conditioned spaces</t>
  </si>
  <si>
    <t>Compliant with ASHRAE 55 adaptive method?</t>
  </si>
  <si>
    <t>Prevailing mean outdoor temperature</t>
  </si>
  <si>
    <t>Operative temperature</t>
  </si>
  <si>
    <t>Equipped with operable windows?</t>
  </si>
  <si>
    <r>
      <rPr>
        <u/>
        <sz val="10"/>
        <rFont val="Arial"/>
        <family val="2"/>
      </rPr>
      <t>Method 1</t>
    </r>
    <r>
      <rPr>
        <sz val="10"/>
        <rFont val="Arial"/>
        <family val="2"/>
      </rPr>
      <t>: Spaces shall meet the requirements of the adaptive method of ASHRAE 55.
In particular, at design conditions (hottest month of the year), indoor operative temperature of the spaces should be within the 80% acceptability limits.</t>
    </r>
  </si>
  <si>
    <t>Calculated illuminance uniformity</t>
  </si>
  <si>
    <t>Compliant Light Distribution?</t>
  </si>
  <si>
    <t>Are considered as low formaldehyde composite wood products in LOTUS Interiors, the composite wood products which either:</t>
  </si>
  <si>
    <t>• or, are classified as U.L.E.F. (ultra-low-emitting formaldehyde) or N.A.F. (no added formaldehyde)</t>
  </si>
  <si>
    <t>• or, do not contain any added urea-formaldehyde (UF) resin and phenol-formaldehyde (PF) resin</t>
  </si>
  <si>
    <t>Low formaldehyde ?</t>
  </si>
  <si>
    <t>Application Form</t>
  </si>
  <si>
    <t>LOTUS Interiors Eligibility</t>
  </si>
  <si>
    <t>• Verify that the correct equipment and material has been installed and installed in the proper location</t>
  </si>
  <si>
    <t>• Verify proper operation (startup, shut down, and sequence of operation)</t>
  </si>
  <si>
    <t>For the HVAC systems:</t>
  </si>
  <si>
    <t>For each equipment/system:</t>
  </si>
  <si>
    <t>• Perform Testing, Adjusting and Balancing (TAB)</t>
  </si>
  <si>
    <t>Percentage of compliant area  [%]</t>
  </si>
  <si>
    <t>Increase of indoor air velocity ?</t>
  </si>
  <si>
    <t xml:space="preserve"> Reduce external heat gains ?</t>
  </si>
  <si>
    <t xml:space="preserve"> Reduce internal heat gains ?</t>
  </si>
  <si>
    <t>total area</t>
  </si>
  <si>
    <t>compliant area</t>
  </si>
  <si>
    <t>Occupancy Time per year</t>
  </si>
  <si>
    <t>• Air-conditioned spaces</t>
  </si>
  <si>
    <t>Air movement (m/s)</t>
  </si>
  <si>
    <r>
      <rPr>
        <b/>
        <u/>
        <sz val="10"/>
        <rFont val="Arial"/>
        <family val="2"/>
      </rPr>
      <t>Criteria</t>
    </r>
    <r>
      <rPr>
        <b/>
        <sz val="10"/>
        <rFont val="Arial"/>
        <family val="2"/>
      </rPr>
      <t>: 95% of the occupied spaces meet recommendations on illuminance uniformity</t>
    </r>
  </si>
  <si>
    <r>
      <rPr>
        <i/>
        <sz val="10"/>
        <color rgb="FF943634"/>
        <rFont val="Arial"/>
        <family val="2"/>
      </rPr>
      <t>Table H.7</t>
    </r>
    <r>
      <rPr>
        <i/>
        <sz val="10"/>
        <rFont val="Arial"/>
        <family val="2"/>
      </rPr>
      <t>: Summary of recommendations on illuminance uniformity (Adapted from SLL Lighting Handbook 2009)</t>
    </r>
  </si>
  <si>
    <t>CRI of the lighting fixture</t>
  </si>
  <si>
    <t xml:space="preserve"> For shared multi-occupant spaces, provide:</t>
  </si>
  <si>
    <t>Compliant IAQ Management?</t>
  </si>
  <si>
    <t>Type of control</t>
  </si>
  <si>
    <t xml:space="preserve">HVAC zone controls are defined as equipment specially designed to automatically control the amount of air-conditioning and ventilation that is supplied to defined areas within a building, known as control zones, in an energy efficient manner.
They allow the environmental conditions in the control zones to be independently controlled to meet the desired conditions (internal air temperature and ventilation).
A HVAC zone control system always contains a central module (control panel) and may include sensors (temperature, humidity, occupancy), schedule control, actuators to drive valves or dampers, etc. </t>
  </si>
  <si>
    <r>
      <t>• CO</t>
    </r>
    <r>
      <rPr>
        <vertAlign val="subscript"/>
        <sz val="10"/>
        <rFont val="Arial"/>
        <family val="2"/>
      </rPr>
      <t>2</t>
    </r>
    <r>
      <rPr>
        <sz val="10"/>
        <rFont val="Arial"/>
        <family val="2"/>
      </rPr>
      <t xml:space="preserve"> Sensors that measure CO2 levels and indirectly help to determine how many people are in a room </t>
    </r>
  </si>
  <si>
    <t>UGR (Unified Glare Rating) is a general formula for assessing glare. It takes account of all the luminaires in the system that contribute to the sensation of glare.</t>
  </si>
  <si>
    <t>To limit glare and excessive reflection in occupied areas, lighting fixtures must comply with one of the 2 following approaches.</t>
  </si>
  <si>
    <r>
      <t xml:space="preserve">• </t>
    </r>
    <r>
      <rPr>
        <u/>
        <sz val="10"/>
        <rFont val="Arial"/>
        <family val="2"/>
      </rPr>
      <t>Prescriptive approach</t>
    </r>
    <r>
      <rPr>
        <sz val="10"/>
        <rFont val="Arial"/>
        <family val="2"/>
      </rPr>
      <t>: Light fixtures comply with either one of the following:</t>
    </r>
  </si>
  <si>
    <r>
      <t xml:space="preserve">• </t>
    </r>
    <r>
      <rPr>
        <u/>
        <sz val="10"/>
        <rFont val="Arial"/>
        <family val="2"/>
      </rPr>
      <t>Unified glare rating approach</t>
    </r>
    <r>
      <rPr>
        <sz val="10"/>
        <rFont val="Arial"/>
        <family val="2"/>
      </rPr>
      <t>: Unified glare rating (UGR) of the lighting installations should not exceed the maximum values recommended in internationally recognized standards (AS1680.1, EN 12464, CIBSE Glare Index, etc.)</t>
    </r>
  </si>
  <si>
    <t>- Light fixtures with low luminance: use light fixtures with a luminance of less than 2,500cd/m2 between 45 and 90 degrees from nadir (Exceptions include wallwash fixtures properly aimed at walls, indirect uplighting fixtures, provided there is no view down into these uplights from a regularly occupied space above, and adjustable fixtures)</t>
  </si>
  <si>
    <t>- Obscured light sources: All bare light sources have been fitted with baffles, louvers, translucent diffusers, ceiling design, or other means that directly obscure the light source from all viewing angles by occupants, including looking directly upwards.</t>
  </si>
  <si>
    <t>It should be determined based on CIE 117-1995 - Discomfort Glare in Interior Lighting using:</t>
  </si>
  <si>
    <r>
      <rPr>
        <b/>
        <sz val="10"/>
        <rFont val="Arial"/>
        <family val="2"/>
      </rPr>
      <t>Strategy C: HVAC Zoning</t>
    </r>
    <r>
      <rPr>
        <sz val="10"/>
        <rFont val="Arial"/>
        <family val="2"/>
      </rPr>
      <t xml:space="preserve">
For 1 point, provide separate HVAC control zones for each solar exposure and for areas with different usage/occupancy needs</t>
    </r>
  </si>
  <si>
    <t>Install a demand control ventilation system to control the fresh air intake and/or the temperature setpoints of spaces with special occupancy.</t>
  </si>
  <si>
    <t>Spaces with special occupancy can be conference rooms, break rooms, classrooms, gymnasiums with variable use patterns, cafeterias, hotel guest rooms, and other occupied spaces where energy savings can be achieved when the space is unoccupied.
Also, these spaces can be densely occupied spaces where energy savings can be achieved by adjusting the amount of fresh air supplied to the space when the space is partially occupied.</t>
  </si>
  <si>
    <t>Special occupancy?</t>
  </si>
  <si>
    <t>Complete the Table below with information on all the spaces with special occupancy in the interior project space:</t>
  </si>
  <si>
    <t>Install energy recovery ventilation systems on all the air handling units</t>
  </si>
  <si>
    <t>Energy recovery ventilation systems are systems exchanging the energy contained in normally exhausted building or space air and using it to treat (precondition) the incoming outdoor ventilation air. During the warmer seasons, the system pre-cools and dehumidifies while humidifying and pre-heating in the cooler seasons.
Energy recovery ventilation systems unlike heat recovery ventilation systems also transfer the humidity level of the exhaust air to the intake air, which improves the overall recovery efficiency</t>
  </si>
  <si>
    <t xml:space="preserve">• Have energy recovery ventilation systems been installed on all the air handling units? </t>
  </si>
  <si>
    <r>
      <rPr>
        <b/>
        <sz val="10"/>
        <rFont val="Arial"/>
        <family val="2"/>
      </rPr>
      <t>Strategy A: Lighting power density reduction</t>
    </r>
    <r>
      <rPr>
        <sz val="10"/>
        <rFont val="Arial"/>
        <family val="2"/>
      </rPr>
      <t xml:space="preserve">
For 1 point, lighting power density surpasses VBEEC requirements by 10 %
1 point for every additional 10% improvement of the lighting power density compared to VBEEC requirements (up to 50%)</t>
    </r>
  </si>
  <si>
    <r>
      <rPr>
        <b/>
        <sz val="10"/>
        <rFont val="Arial"/>
        <family val="2"/>
      </rPr>
      <t>Reduce the power associated with the use of artificial lighting systems.</t>
    </r>
    <r>
      <rPr>
        <sz val="10"/>
        <rFont val="Arial"/>
        <family val="2"/>
      </rPr>
      <t xml:space="preserve">
Lighting power density (LPD) in the project space should be lower than the maximum values set in Table E.3 (from VBEEC Table 2.12)</t>
    </r>
  </si>
  <si>
    <t>Type 5</t>
  </si>
  <si>
    <t>• An occupancy sensor automatically turns lights ON when occupants enter a room and OFF when occupants leave.</t>
  </si>
  <si>
    <t xml:space="preserve">
• A vacancy sensor also turns lights OFF when occupants leave a room but lights need to be manually turned ON when occupants walk into a room. 
</t>
  </si>
  <si>
    <t xml:space="preserve">Vacancy sensing maximizes the energy savings because it’s not always necessary to turn lights ON when temporarily entering a space, or when there’s sufficient daylight or  hallway light. </t>
  </si>
  <si>
    <t>• Sidelit daylit area is the area on a plan directly adjacent to each vertical glazing, two window head height deep into the area, and window width plus 0.5 times window head height wide on each side of the rough opening of the window, minus any area on a plan beyond a permanent obstruction that is 1.5 meters or taller as measured from the floor.</t>
  </si>
  <si>
    <t>Potentially daylit areas are the sidelit daylit areas and skylit daylit areas as defined below:</t>
  </si>
  <si>
    <t>• Skylit daylit area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The bottom of the skylight is measured from the bottom of the skylight well for skylights having wells, or the bottom of the skylight if no skylight well exists. 
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</si>
  <si>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t>Compliant energy recovery ventilation systems ?</t>
  </si>
  <si>
    <t xml:space="preserve">The general concept for plug load control is to provide two separate sets of receptacles. The electric circuits connected to one set of plugs are controlled by a device that can automatically turn off plug loads. This set of receptacles is called controlled receptacles and are marked differently from others. Non-controllable plug loads are connected to un-controlled receptacles so that their services will not be disrupted. Similar to general lighting shut off controls, building occupants should have easy access to manual switches to override the shut off controls. </t>
  </si>
  <si>
    <t>Water-efficient bathroom fixtures are:</t>
  </si>
  <si>
    <t>Complete the information below on the water fixtures of the base building:</t>
  </si>
  <si>
    <t>Spaces are naturally ventilated spaces when the indoor air is changed with outdoor air without the use of mechanical system.</t>
  </si>
  <si>
    <t>Complete the Table below with information on all the occupied rooms with mechanical ventilation and mixed-mode ventilation:</t>
  </si>
  <si>
    <t>A space served by a cooling equipment cannot be considered as naturally ventilated space. Such a space should adopt a mixed-mode ventilation system to be compliant.</t>
  </si>
  <si>
    <t>Note: Calculations of fresh air requirements are not included in the User Tool as they can be quite complex and depend on the standard followed.</t>
  </si>
  <si>
    <t>Provide sufficient fresh air supply to a minimum of 95% of the total net occupied area</t>
  </si>
  <si>
    <t>LOTUS Interiors can be used for single use or mixed-use fit-out project including the following:
LOTUS Interiors can be used for the following project types:</t>
  </si>
  <si>
    <t>LOTUS Interiors sets 6 Eligibility Rules that all projects have to follow in order to pursue LOTUS Interiors Certification.</t>
  </si>
  <si>
    <t>1. Fit-out project</t>
  </si>
  <si>
    <t>The project must be a fit-out project within a building. It may involve the design, construction and commissioning of a new fit-out or the renovation and refurbishment of an existing fit-out.</t>
  </si>
  <si>
    <t>2. Distinct boundary</t>
  </si>
  <si>
    <t>3. Complete interior space</t>
  </si>
  <si>
    <t xml:space="preserve">4. Length of Occupancy </t>
  </si>
  <si>
    <t>5. Occupancy rates</t>
  </si>
  <si>
    <r>
      <rPr>
        <u/>
        <sz val="10"/>
        <rFont val="Arial"/>
        <family val="2"/>
      </rPr>
      <t>Technique 2</t>
    </r>
    <r>
      <rPr>
        <sz val="10"/>
        <rFont val="Arial"/>
        <family val="2"/>
      </rPr>
      <t>: Monitor CO</t>
    </r>
    <r>
      <rPr>
        <vertAlign val="subscript"/>
        <sz val="10"/>
        <rFont val="Arial"/>
        <family val="2"/>
      </rPr>
      <t>2</t>
    </r>
    <r>
      <rPr>
        <sz val="10"/>
        <rFont val="Arial"/>
        <family val="2"/>
      </rPr>
      <t xml:space="preserve"> concentrations and manually amend the operation schedules of ventilation systems accordingly. Configure all monitoring systems to generate an alarm when the CO</t>
    </r>
    <r>
      <rPr>
        <vertAlign val="subscript"/>
        <sz val="10"/>
        <rFont val="Arial"/>
        <family val="2"/>
      </rPr>
      <t>2</t>
    </r>
    <r>
      <rPr>
        <sz val="10"/>
        <rFont val="Arial"/>
        <family val="2"/>
      </rPr>
      <t xml:space="preserve"> concentration gets higher than a CO</t>
    </r>
    <r>
      <rPr>
        <vertAlign val="subscript"/>
        <sz val="10"/>
        <rFont val="Arial"/>
        <family val="2"/>
      </rPr>
      <t>2max</t>
    </r>
    <r>
      <rPr>
        <sz val="10"/>
        <rFont val="Arial"/>
        <family val="2"/>
      </rPr>
      <t xml:space="preserve"> concentration set for each space. The alarm should be able to alert either the building operator through building automation system or the building occupants through visible or audible alerts. The CO</t>
    </r>
    <r>
      <rPr>
        <vertAlign val="subscript"/>
        <sz val="10"/>
        <rFont val="Arial"/>
        <family val="2"/>
      </rPr>
      <t>2max</t>
    </r>
    <r>
      <rPr>
        <sz val="10"/>
        <rFont val="Arial"/>
        <family val="2"/>
      </rPr>
      <t xml:space="preserve"> concentration, at which fresh air supply must be increased, shall be set at 1000 ppm or appropriately calculated for each different high density occupied area. Designers can refer to the Appendix A CO</t>
    </r>
    <r>
      <rPr>
        <vertAlign val="subscript"/>
        <sz val="10"/>
        <rFont val="Arial"/>
        <family val="2"/>
      </rPr>
      <t>2</t>
    </r>
    <r>
      <rPr>
        <sz val="10"/>
        <rFont val="Arial"/>
        <family val="2"/>
      </rPr>
      <t xml:space="preserve">-Based Demand Controlled Ventilation of ASHRAE 62.1 User’s Manual (2007 or 2010) for more details. </t>
    </r>
  </si>
  <si>
    <t>Complete the table below with information on all the flooring systems (including the finishing products) installed by the project:</t>
  </si>
  <si>
    <t xml:space="preserve">• A flush-out should be realized in all the occupied spaces of the interior project by supplying a minimum volume of fresh air in total air changes (TAC) prior to occupancy. </t>
  </si>
  <si>
    <r>
      <rPr>
        <b/>
        <sz val="10"/>
        <rFont val="Arial"/>
        <family val="2"/>
      </rPr>
      <t>Option B: Clean air supply ductwork</t>
    </r>
    <r>
      <rPr>
        <sz val="10"/>
        <rFont val="Arial"/>
        <family val="2"/>
      </rPr>
      <t xml:space="preserve">
Ensure that all the air supply ductworks have been cleaned prior to occupancy</t>
    </r>
  </si>
  <si>
    <t>Option B:  Clean air supply ductwork</t>
  </si>
  <si>
    <r>
      <t>• Plants density: The density of plants should be higher than one plant unit for 2 full time occupants and higher than one plant unit for every 50 m</t>
    </r>
    <r>
      <rPr>
        <vertAlign val="superscript"/>
        <sz val="10"/>
        <rFont val="Arial"/>
        <family val="2"/>
      </rPr>
      <t>2</t>
    </r>
    <r>
      <rPr>
        <sz val="10"/>
        <rFont val="Arial"/>
        <family val="2"/>
      </rPr>
      <t xml:space="preserve"> of occupied area.</t>
    </r>
  </si>
  <si>
    <r>
      <rPr>
        <b/>
        <sz val="10"/>
        <color rgb="FFFFAF00"/>
        <rFont val="Arial"/>
        <family val="2"/>
      </rPr>
      <t>Occupied spaces</t>
    </r>
    <r>
      <rPr>
        <sz val="10"/>
        <rFont val="Arial"/>
        <family val="2"/>
      </rPr>
      <t xml:space="preserve"> - Enclosed spaces that can accommodate human activities. They include work spaces (offices, meeting rooms, laboratories, etc.), event spaces (halls, sales areas, libraries, gyms, etc.), common areas (receptions, waiting rooms, lounges, lobbies, etc.), and learning spaces (classrooms). They exclude corridors, staircases, storage areas, toilets, changing facilities, IT equipment rooms and mechanical rooms.</t>
    </r>
  </si>
  <si>
    <r>
      <rPr>
        <b/>
        <sz val="10"/>
        <color rgb="FFFFAF00"/>
        <rFont val="Arial"/>
        <family val="2"/>
      </rPr>
      <t>Net Occupied Area (NOA)</t>
    </r>
    <r>
      <rPr>
        <b/>
        <sz val="10"/>
        <color rgb="FF943634"/>
        <rFont val="Arial"/>
        <family val="2"/>
      </rPr>
      <t xml:space="preserve"> </t>
    </r>
    <r>
      <rPr>
        <sz val="10"/>
        <rFont val="Arial"/>
        <family val="2"/>
      </rPr>
      <t>- The sum of the areas of all the occupied spaces of the project.</t>
    </r>
  </si>
  <si>
    <t>For each occupied room, it is possible to have different areas with different types of quality views (table below can include up to 3 different areas). For example, in one room, a part of the room may have a direct line of sight with a view including both vegetation and movement while another part of the room may have multiple lines of sight to the outdoors including a line of sight to an unobstructed external view.</t>
  </si>
  <si>
    <r>
      <rPr>
        <b/>
        <u/>
        <sz val="10"/>
        <rFont val="Arial"/>
        <family val="2"/>
      </rPr>
      <t>Criteria</t>
    </r>
    <r>
      <rPr>
        <b/>
        <sz val="10"/>
        <rFont val="Arial"/>
        <family val="2"/>
      </rPr>
      <t>: Design lighting installations to limit glare and excessive reflection in all occupied areas.</t>
    </r>
  </si>
  <si>
    <r>
      <rPr>
        <b/>
        <sz val="10"/>
        <rFont val="Arial"/>
        <family val="2"/>
      </rPr>
      <t>Option B: Base building with green attributes</t>
    </r>
    <r>
      <rPr>
        <sz val="10"/>
        <rFont val="Arial"/>
        <family val="2"/>
      </rPr>
      <t xml:space="preserve">
For 1 point, 2 green attributes are met by the base building
For 2 points, 4 green attributes are met by the base building</t>
    </r>
  </si>
  <si>
    <t>Option B: Base building with green attributes</t>
  </si>
  <si>
    <t>Install your interior project in a base building with green attributes.</t>
  </si>
  <si>
    <t>Number of green attributes in the base building</t>
  </si>
  <si>
    <t>LT-1 Green base building</t>
  </si>
  <si>
    <t>Green base building</t>
  </si>
  <si>
    <t>• Is the base building certified under another recognised system?</t>
  </si>
  <si>
    <t>Rating System</t>
  </si>
  <si>
    <t>Complete the information below on the green building certification of the base building:</t>
  </si>
  <si>
    <t>For non-LOTUS certified base buildings:</t>
  </si>
  <si>
    <t>Equivalence to LOTUS Certification level</t>
  </si>
  <si>
    <t>Submitted</t>
  </si>
  <si>
    <t>Lighting level controls provided?</t>
  </si>
  <si>
    <r>
      <rPr>
        <sz val="10"/>
        <rFont val="Calibri"/>
        <family val="2"/>
      </rPr>
      <t>•</t>
    </r>
    <r>
      <rPr>
        <sz val="10"/>
        <rFont val="Arial"/>
        <family val="2"/>
      </rPr>
      <t xml:space="preserve"> two component lighting system (for example, an ambient/background lighting system with low light levels and a separate task lighting component)</t>
    </r>
  </si>
  <si>
    <t>The following lighting controls/systems are considered as compliant for the individual occupant spaces:</t>
  </si>
  <si>
    <r>
      <rPr>
        <sz val="10"/>
        <rFont val="Calibri"/>
        <family val="2"/>
      </rPr>
      <t>•</t>
    </r>
    <r>
      <rPr>
        <sz val="10"/>
        <rFont val="Arial"/>
        <family val="2"/>
      </rPr>
      <t xml:space="preserve"> digital dimmable lighting control system (where user has control through a manual dimming switch, a wireless remote or a computer interface linked to a digital lighting control system)</t>
    </r>
  </si>
  <si>
    <r>
      <rPr>
        <sz val="10"/>
        <rFont val="Calibri"/>
        <family val="2"/>
      </rPr>
      <t>•</t>
    </r>
    <r>
      <rPr>
        <sz val="10"/>
        <rFont val="Arial"/>
        <family val="2"/>
      </rPr>
      <t xml:space="preserve"> Separate lighting controls for any presentation or projection wall</t>
    </r>
  </si>
  <si>
    <r>
      <rPr>
        <sz val="10"/>
        <rFont val="Calibri"/>
        <family val="2"/>
      </rPr>
      <t>•</t>
    </r>
    <r>
      <rPr>
        <sz val="10"/>
        <rFont val="Arial"/>
        <family val="2"/>
      </rPr>
      <t xml:space="preserve"> A lighting control system that enable occupants to adjust the lighting to meet group needs and preferences, with at least three lighting levels or scenes (on, off, midlevel). </t>
    </r>
  </si>
  <si>
    <t>Individual occupant space</t>
  </si>
  <si>
    <t>Multi-occupant space</t>
  </si>
  <si>
    <t>Control system to adjust the lighting?</t>
  </si>
  <si>
    <t>Separate controls for any presentation wall?</t>
  </si>
  <si>
    <t>For 1 point, meet requirements of 2 of the following strategies.
For 2 points, meet requirements of 3 of the following strategies.
   • Strategy A: General Illuminance
   • Strategy B: Light Distribution
   • Strategy C: Color rendition index
   • Strategy D: Glare
   • Strategy E: Lighting level controls</t>
  </si>
  <si>
    <t>Strategy E: Lighting level controls</t>
  </si>
  <si>
    <r>
      <t>Area of the space (m</t>
    </r>
    <r>
      <rPr>
        <vertAlign val="superscript"/>
        <sz val="10"/>
        <color indexed="9"/>
        <rFont val="Arial"/>
        <family val="2"/>
      </rPr>
      <t>2</t>
    </r>
    <r>
      <rPr>
        <sz val="10"/>
        <color indexed="9"/>
        <rFont val="Arial"/>
        <family val="2"/>
      </rPr>
      <t>)</t>
    </r>
  </si>
  <si>
    <t>• a CAD software method</t>
  </si>
  <si>
    <t>• a tabular method and respecting the proportions (width-to-length ratios) of the rooms; or</t>
  </si>
  <si>
    <r>
      <t>The UGR value provided by manufacturers (tabular value of the reference room UGR</t>
    </r>
    <r>
      <rPr>
        <vertAlign val="subscript"/>
        <sz val="10"/>
        <rFont val="Arial"/>
        <family val="2"/>
      </rPr>
      <t>R</t>
    </r>
    <r>
      <rPr>
        <sz val="10"/>
        <rFont val="Arial"/>
        <family val="2"/>
      </rPr>
      <t xml:space="preserve"> (4H x 8H) based on a spacing-to-height ratio of 0.25 and ceiling/walls/floor reflectances of 0.7/0.5/0.2) may also be used.</t>
    </r>
  </si>
  <si>
    <t>Select the approach pursued:</t>
  </si>
  <si>
    <t>UGR</t>
  </si>
  <si>
    <t>luminance</t>
  </si>
  <si>
    <t>obscured light sources</t>
  </si>
  <si>
    <t>Compliant limitation of glare?</t>
  </si>
  <si>
    <t>Compliant internal noise levels?</t>
  </si>
  <si>
    <t>Reverberation time values can be found through measurements in accordance with ISO 3382 Acoustics – Measurement of the reverberation time for rooms with reference to other acoustical parameters.</t>
  </si>
  <si>
    <t>Install your interior project in a base building which is certified under a recognised green building certification system.</t>
  </si>
  <si>
    <t>- effective external shadings are installed on all the windows of the space</t>
  </si>
  <si>
    <t>Provide separate control zones for each solar exposure and for areas with different usage/occupancy needs through the use of HVAC zone controls</t>
  </si>
  <si>
    <r>
      <rPr>
        <b/>
        <sz val="10"/>
        <color rgb="FFFFAF00"/>
        <rFont val="Arial"/>
        <family val="2"/>
      </rPr>
      <t>Daylight factor (DF)</t>
    </r>
    <r>
      <rPr>
        <b/>
        <sz val="10"/>
        <color rgb="FFFFA500"/>
        <rFont val="Arial"/>
        <family val="2"/>
      </rPr>
      <t xml:space="preserve"> </t>
    </r>
    <r>
      <rPr>
        <sz val="10"/>
        <rFont val="Arial"/>
        <family val="2"/>
      </rPr>
      <t>- DF is the ratio of the light level inside a room to the light level outdoors. It is used to assess the internal natural lighting levels as perceived on working planes or surfaces.</t>
    </r>
  </si>
  <si>
    <r>
      <rPr>
        <b/>
        <sz val="10"/>
        <color rgb="FFFFAF00"/>
        <rFont val="Arial"/>
        <family val="2"/>
      </rPr>
      <t>Global Warming Potential (GWP</t>
    </r>
    <r>
      <rPr>
        <b/>
        <vertAlign val="subscript"/>
        <sz val="10"/>
        <color rgb="FFFFAF00"/>
        <rFont val="Arial"/>
        <family val="2"/>
      </rPr>
      <t>100</t>
    </r>
    <r>
      <rPr>
        <b/>
        <sz val="10"/>
        <color rgb="FFFFAF00"/>
        <rFont val="Arial"/>
        <family val="2"/>
      </rPr>
      <t>)</t>
    </r>
    <r>
      <rPr>
        <sz val="10"/>
        <rFont val="Arial"/>
        <family val="2"/>
      </rPr>
      <t xml:space="preserve"> - A value assigned to a refrigerant based on scientific measurements showing how much that refrigerant will contribute to global warming if released into the atmosphere. The reference datum is based on the effect of CO2 in the atmosphere, which is assigned a GWP of 1. GWP is usually measure over a 100-year period and the lower the GWP of a refrigerant is the better or less harmful the refrigerant is for the environment.</t>
    </r>
  </si>
  <si>
    <r>
      <rPr>
        <b/>
        <sz val="10"/>
        <color rgb="FFFFAF00"/>
        <rFont val="Arial"/>
        <family val="2"/>
      </rPr>
      <t>Interior fit-out</t>
    </r>
    <r>
      <rPr>
        <sz val="10"/>
        <rFont val="Arial"/>
        <family val="2"/>
      </rPr>
      <t xml:space="preserve"> - The installation of ceilings, floors, furnishings, and partitions of a building, as well as the installation of all required building services.</t>
    </r>
  </si>
  <si>
    <r>
      <rPr>
        <b/>
        <sz val="10"/>
        <color rgb="FFFFAF00"/>
        <rFont val="Arial"/>
        <family val="2"/>
      </rPr>
      <t>Illuminance</t>
    </r>
    <r>
      <rPr>
        <sz val="10"/>
        <rFont val="Arial"/>
        <family val="2"/>
      </rPr>
      <t xml:space="preserve"> - The density of the luminous flux incident on a surface. It is measured in lux or lm/m2 and is equal to the luminous flux (lumen) divided by the area (m2) of the surface when the latter is uniformly illuminated.</t>
    </r>
  </si>
  <si>
    <r>
      <rPr>
        <b/>
        <sz val="10"/>
        <color rgb="FFFFAF00"/>
        <rFont val="Arial"/>
        <family val="2"/>
      </rPr>
      <t>HVAC (Heating, Ventilating and Air Conditioning)</t>
    </r>
    <r>
      <rPr>
        <sz val="10"/>
        <rFont val="Arial"/>
        <family val="2"/>
      </rPr>
      <t xml:space="preserve"> - The equipment, distribution network, and terminals that provides either collectively or individually the processes of heating, ventilating, or air conditioning to a building.</t>
    </r>
  </si>
  <si>
    <r>
      <rPr>
        <b/>
        <sz val="10"/>
        <color rgb="FFFFAF00"/>
        <rFont val="Arial"/>
        <family val="2"/>
      </rPr>
      <t>Gross Floor Area (GFA)</t>
    </r>
    <r>
      <rPr>
        <sz val="10"/>
        <rFont val="Arial"/>
        <family val="2"/>
      </rPr>
      <t xml:space="preserve"> - The sum of the fully enclosed covered floor area and the unenclosed covered floor area of a building or a project space at all floor levels. Some commercial and public authorities use variants of this definition. Car parks are not to be included as GFA.</t>
    </r>
  </si>
  <si>
    <r>
      <rPr>
        <b/>
        <sz val="10"/>
        <color rgb="FFFFAF00"/>
        <rFont val="Arial"/>
        <family val="2"/>
      </rPr>
      <t xml:space="preserve">Ozone depletion potential (ODP) </t>
    </r>
    <r>
      <rPr>
        <sz val="10"/>
        <rFont val="Arial"/>
        <family val="2"/>
      </rPr>
      <t>- A value assigned to a refrigerant based on scientific measurements that show how destructive a refrigerant is to the ozone layer if released into the atmosphere. The reference datum is based on the effect of refrigerant R11, which is assigned an ODP of 1. The lower the value of ODP the better or less harmful the refrigerant is for the ozone layer and therefore the environment.</t>
    </r>
  </si>
  <si>
    <r>
      <rPr>
        <b/>
        <sz val="10"/>
        <color rgb="FFFFAF00"/>
        <rFont val="Arial"/>
        <family val="2"/>
      </rPr>
      <t>Reflectance</t>
    </r>
    <r>
      <rPr>
        <sz val="10"/>
        <rFont val="Arial"/>
        <family val="2"/>
      </rPr>
      <t xml:space="preserve"> - The ratio of light reflected by a surface to the light incident upon it.</t>
    </r>
  </si>
  <si>
    <t>Other measure:</t>
  </si>
  <si>
    <r>
      <rPr>
        <sz val="10"/>
        <rFont val="Calibri"/>
        <family val="2"/>
      </rPr>
      <t>•</t>
    </r>
    <r>
      <rPr>
        <sz val="10"/>
        <rFont val="Arial"/>
        <family val="2"/>
      </rPr>
      <t xml:space="preserve"> Implementation of measures to reduce structure-borne noise (at least one measure should be implemented):</t>
    </r>
  </si>
  <si>
    <t>• Accomodation</t>
  </si>
  <si>
    <t>At least, provide toilets, washing facilities and one different type of site amenities for construction workers.</t>
  </si>
  <si>
    <t>At least, implement 3 strategies to meet safety requirements.</t>
  </si>
  <si>
    <t>design specifications of the building and how these affect its operation; energy efficiency features; water-saving features; correct operation of HVAC and lighting systems; access, security and safety systems; evacuation/disaster response plan; methods for reporting problems; information on parking, public transportation, car sharing schemes, etc.; waste recycling procedures</t>
  </si>
  <si>
    <t>Note: 3 CPD points will be awarded to all LOTUS APs completing this feedback form.</t>
  </si>
  <si>
    <t>Q2: Credit E-1 Space cooling - HVAC equipment</t>
  </si>
  <si>
    <t>Q3: Materials category</t>
  </si>
  <si>
    <t>Q1: Certification Process</t>
  </si>
  <si>
    <t>What should be modified?</t>
  </si>
  <si>
    <t>Do you agree with the Certification Process including 3 steps: Pre-assessment stage (optional), Provisional Certification (optional) and Full Certification ?</t>
  </si>
  <si>
    <t xml:space="preserve">Do you agree with the types of sustainable materials set in the credits of the Materials Category? </t>
  </si>
  <si>
    <t>Which types of sustainable materials should be changed/added/removed?</t>
  </si>
  <si>
    <t xml:space="preserve">Full Certification checklist </t>
  </si>
  <si>
    <t>Option A: Projects with provision of bathroom water fixtures</t>
  </si>
  <si>
    <r>
      <rPr>
        <b/>
        <sz val="10"/>
        <rFont val="Arial"/>
        <family val="2"/>
      </rPr>
      <t>Strategy A1: Space Water Use</t>
    </r>
    <r>
      <rPr>
        <sz val="10"/>
        <rFont val="Arial"/>
        <family val="2"/>
      </rPr>
      <t xml:space="preserve">
For 1 point, reduce domestic water consumption through fixtures by 20% in comparison to a baseline model
1 point for every additional 5% reduction of the domestic water consumption through fixtures (up to 40%)</t>
    </r>
  </si>
  <si>
    <t>The space must have at least one full-time occupant working for a year or one resident.</t>
  </si>
  <si>
    <t>• Install flow aerators or flow restrictors to taps</t>
  </si>
  <si>
    <t>Reply to the questions below on the spaces for public transportation:</t>
  </si>
  <si>
    <t>Complete the Table below with information on all the mounted fans installed in occupied rooms:</t>
  </si>
  <si>
    <t>Number of fans installed</t>
  </si>
  <si>
    <t>Type of fans installed</t>
  </si>
  <si>
    <t>Install mounted fans in 50% of occupied areas</t>
  </si>
  <si>
    <r>
      <rPr>
        <b/>
        <sz val="10"/>
        <rFont val="Arial"/>
        <family val="2"/>
      </rPr>
      <t>Strategy E: Alternative strategies</t>
    </r>
    <r>
      <rPr>
        <sz val="10"/>
        <rFont val="Arial"/>
        <family val="2"/>
      </rPr>
      <t xml:space="preserve">
1 point for each of the following strategies implemented (up to 2 strategies): 
- Install enthalpy recovery systems on all air handling units
- Use a radiant cooling system
- Install mounted fans in 50% of occupied areas</t>
    </r>
  </si>
  <si>
    <t xml:space="preserve">• The windward side of the building is determined based on the prevailing wind direction during the hottest period of the year. </t>
  </si>
  <si>
    <t>• The prevailing wind is the wind that blows the most frequently during this period. Information on the frequency of wind direction of the proposed site location can be found in table 2.16 of QCVN 02:2009/BXD - Vietnam Building Code Natural Physical &amp; Climatic Data for Construction or can come from meteorological data.</t>
  </si>
  <si>
    <t>• The windward side of the building should not necessarily be located perpendicularly to the prevailing wind direction, oblique angles are acceptable. It is also possible to use architectural features to steer the wind such as casement windows, wing walls, fences, or even strategically-planted vegetation.</t>
  </si>
  <si>
    <t xml:space="preserve">Such products should be natural products (baking soda, lemon, apple cider, etc.) or should be products certified by recognized green labelling scheme such as: </t>
  </si>
  <si>
    <t>individual occupancy</t>
  </si>
  <si>
    <t>multi-occupant</t>
  </si>
  <si>
    <r>
      <t>³</t>
    </r>
    <r>
      <rPr>
        <sz val="10"/>
        <color theme="1"/>
        <rFont val="Arial"/>
        <family val="2"/>
      </rPr>
      <t xml:space="preserve"> 117 kW</t>
    </r>
  </si>
  <si>
    <r>
      <t>³</t>
    </r>
    <r>
      <rPr>
        <sz val="10"/>
        <color theme="1"/>
        <rFont val="Arial"/>
        <family val="2"/>
      </rPr>
      <t xml:space="preserve"> 70 kW to &lt; 117 kW</t>
    </r>
  </si>
  <si>
    <t xml:space="preserve">• Evidence showing the installation of the fans such as as-built drawings, photographs, receipts, etc. </t>
  </si>
  <si>
    <r>
      <rPr>
        <sz val="10"/>
        <rFont val="Calibri"/>
        <family val="2"/>
      </rPr>
      <t>•</t>
    </r>
    <r>
      <rPr>
        <sz val="10"/>
        <rFont val="Arial"/>
        <family val="2"/>
      </rPr>
      <t xml:space="preserve"> All the following types of appliances and equipment should be considered in the credit:
Washing machines, Refrigerators and freezers, Dishwashers, Fans, Televisions, Computers (desktops and laptops), Displays (computer monitors), and Rice cookers</t>
    </r>
  </si>
  <si>
    <r>
      <rPr>
        <sz val="10"/>
        <rFont val="Calibri"/>
        <family val="2"/>
      </rPr>
      <t>•</t>
    </r>
    <r>
      <rPr>
        <sz val="10"/>
        <rFont val="Arial"/>
        <family val="2"/>
      </rPr>
      <t xml:space="preserve"> Projects may consider other types of appliances and equipment if they are energy efficient (as defined below).</t>
    </r>
  </si>
  <si>
    <t>Total Rated Power (W)</t>
  </si>
  <si>
    <r>
      <t xml:space="preserve">Strategy A: Natural Ventilation 
</t>
    </r>
    <r>
      <rPr>
        <sz val="10"/>
        <rFont val="Arial"/>
        <family val="2"/>
      </rPr>
      <t>For 1 point, 25% of occupied areas have effective natural ventilation
1 point for every additional 25% of occupied areas that have effective natural ventilation (up to 100%)</t>
    </r>
  </si>
  <si>
    <t>Occupied areas with effective natural ventilation (%)</t>
  </si>
  <si>
    <t>Materials Glossary</t>
  </si>
  <si>
    <t>Definition of the different types of sustainable materials</t>
  </si>
  <si>
    <t xml:space="preserve">ISO 14021 defines recycled content as “the proportion, by mass, of recycled materials in a product or packing”. </t>
  </si>
  <si>
    <r>
      <t xml:space="preserve">• A </t>
    </r>
    <r>
      <rPr>
        <b/>
        <sz val="10"/>
        <color rgb="FF5F4970"/>
        <rFont val="Arial"/>
        <family val="2"/>
      </rPr>
      <t>pre-consumer material</t>
    </r>
    <r>
      <rPr>
        <sz val="10"/>
        <color theme="1"/>
        <rFont val="Arial"/>
        <family val="2"/>
      </rPr>
      <t xml:space="preserve"> is a material diverted from waste stream during a manufacturing process. </t>
    </r>
  </si>
  <si>
    <t>Excluded is reutilization of materials such as rework, regrind or scrap generated in a process and capable of being reclaimed within the same process that generated it.</t>
  </si>
  <si>
    <r>
      <t xml:space="preserve">• A </t>
    </r>
    <r>
      <rPr>
        <b/>
        <sz val="10"/>
        <color rgb="FF5F4970"/>
        <rFont val="Arial"/>
        <family val="2"/>
      </rPr>
      <t>post-consumer material</t>
    </r>
    <r>
      <rPr>
        <sz val="10"/>
        <color theme="1"/>
        <rFont val="Arial"/>
        <family val="2"/>
      </rPr>
      <t xml:space="preserve"> is a material generated by households or by commercial, industrial and institutional facilities in their role as end-users of the product, which can no longer be used for its intended purpose. This includes returns of material from the distribution chain.  </t>
    </r>
  </si>
  <si>
    <t>In order to comply, 80% of the mass of the product must be sourced from manufacturing facilities that are certified to ISO 14001.</t>
  </si>
  <si>
    <t>Locally manufactured materials</t>
  </si>
  <si>
    <t>Locally extracted, harvested and manufactured materials</t>
  </si>
  <si>
    <t>Total transportation distance should include all the travel distances and should be calculated with the following formula:</t>
  </si>
  <si>
    <r>
      <rPr>
        <sz val="10"/>
        <color rgb="FF5F4970"/>
        <rFont val="Arial"/>
        <family val="2"/>
      </rPr>
      <t>Equation M.2</t>
    </r>
    <r>
      <rPr>
        <sz val="10"/>
        <rFont val="Arial"/>
        <family val="2"/>
      </rPr>
      <t>: Total transportation distance [km] = (Distance by rail/3) + (Distance by inland waterway/2) + (Distance by sea/15) +(Distance by all other means)</t>
    </r>
  </si>
  <si>
    <t xml:space="preserve">Only materials installed by the interiors project should be considered. </t>
  </si>
  <si>
    <t>• Reused materials</t>
  </si>
  <si>
    <t>• Materials with reused components</t>
  </si>
  <si>
    <t>• Materials with recycled content</t>
  </si>
  <si>
    <t>• Materials made of rapidly renewable materials</t>
  </si>
  <si>
    <t>• Materials from an ISO 14001 certified manufacturer.</t>
  </si>
  <si>
    <t>• Materials with an environmental product declaration.</t>
  </si>
  <si>
    <t>• Locally manufactured materials</t>
  </si>
  <si>
    <t>• Locally extracted, harvested and manufactured materials</t>
  </si>
  <si>
    <t xml:space="preserve">Only furniture products installed by the interiors project should be considered. </t>
  </si>
  <si>
    <t xml:space="preserve">• Reused products. </t>
  </si>
  <si>
    <t>• Products with reused components.</t>
  </si>
  <si>
    <t>• Products with recycled content.</t>
  </si>
  <si>
    <t>• Products made of rapidly renewable materials</t>
  </si>
  <si>
    <t>• Products from an ISO 14001 certified manufacturer</t>
  </si>
  <si>
    <t>• Products with an environmental product declaration</t>
  </si>
  <si>
    <t>• Locally manufactured products</t>
  </si>
  <si>
    <t>• Locally manufactured products with locally extracted and harvested materials</t>
  </si>
  <si>
    <t>Products made of timber coming from sustainable sources</t>
  </si>
  <si>
    <t>0.5 x % of timber from sustainable sources (by mass)</t>
  </si>
  <si>
    <t>% of recycled content (determined in accordance with Equation M.1 shown in Glossary)</t>
  </si>
  <si>
    <t>Locally manufactured products with locally extracted and harvested materials</t>
  </si>
  <si>
    <t>Locally manufactured products</t>
  </si>
  <si>
    <r>
      <t xml:space="preserve">• </t>
    </r>
    <r>
      <rPr>
        <b/>
        <sz val="10"/>
        <color rgb="FF4A562A"/>
        <rFont val="Arial"/>
        <family val="2"/>
      </rPr>
      <t>Ozone depletion potential (ODP)</t>
    </r>
    <r>
      <rPr>
        <sz val="10"/>
        <rFont val="Arial"/>
        <family val="2"/>
      </rPr>
      <t xml:space="preserve"> is a relative measure indicating the potential of a substance to destroy ozone gas.</t>
    </r>
  </si>
  <si>
    <r>
      <t xml:space="preserve">• </t>
    </r>
    <r>
      <rPr>
        <b/>
        <sz val="10"/>
        <color rgb="FF4A562A"/>
        <rFont val="Arial"/>
        <family val="2"/>
      </rPr>
      <t>Global warming potential (GWP)</t>
    </r>
    <r>
      <rPr>
        <sz val="10"/>
        <rFont val="Arial"/>
        <family val="2"/>
      </rPr>
      <t xml:space="preserve"> is a relative measure of how much heat a greenhouse gas traps in the atmosphere. Commonly, the 100-year time horizon global warming potential (GWP</t>
    </r>
    <r>
      <rPr>
        <vertAlign val="subscript"/>
        <sz val="10"/>
        <rFont val="Arial"/>
        <family val="2"/>
      </rPr>
      <t>100</t>
    </r>
    <r>
      <rPr>
        <sz val="10"/>
        <rFont val="Arial"/>
        <family val="2"/>
      </rPr>
      <t>) is used.</t>
    </r>
  </si>
  <si>
    <r>
      <t xml:space="preserve">• </t>
    </r>
    <r>
      <rPr>
        <b/>
        <sz val="10"/>
        <color rgb="FF4A562A"/>
        <rFont val="Arial"/>
        <family val="2"/>
      </rPr>
      <t>CFC refrigerants</t>
    </r>
    <r>
      <rPr>
        <sz val="10"/>
        <rFont val="Arial"/>
        <family val="2"/>
      </rPr>
      <t xml:space="preserve"> are refrigerants that contribute to ozone depletion. The manufacture of CFC refrigerants has been phased out under the Montreal Protocol in 1987.</t>
    </r>
  </si>
  <si>
    <r>
      <t xml:space="preserve">• </t>
    </r>
    <r>
      <rPr>
        <b/>
        <sz val="10"/>
        <color rgb="FF4A562A"/>
        <rFont val="Arial"/>
        <family val="2"/>
      </rPr>
      <t>Commercial refrigeration</t>
    </r>
    <r>
      <rPr>
        <sz val="10"/>
        <rFont val="Arial"/>
        <family val="2"/>
      </rPr>
      <t xml:space="preserve"> equipment includes the following: walk-in refrigerators, walk-in freezers and refrigerated caseworks.</t>
    </r>
  </si>
  <si>
    <t>Lighting purpose</t>
  </si>
  <si>
    <t>Minimum illuminance level (lux)</t>
  </si>
  <si>
    <t>1. Lighting for rooms and common areas used infrequently and / or performing simple observation tasks</t>
  </si>
  <si>
    <t>1.1 Minimum illuminance outside of pathway, outdoor shops, yard</t>
  </si>
  <si>
    <t>Application 1.1</t>
  </si>
  <si>
    <t>1.2 Outdoor pathway or yard</t>
  </si>
  <si>
    <t>Application 1.2</t>
  </si>
  <si>
    <t>1.3 Boiler house</t>
  </si>
  <si>
    <t>Application 1.3</t>
  </si>
  <si>
    <t>1.4 Transformer station, boiler area…</t>
  </si>
  <si>
    <t>Application 1.4</t>
  </si>
  <si>
    <t>1.5 Pathway inside industrial factories, shops, storage.</t>
  </si>
  <si>
    <t>Application 1.5</t>
  </si>
  <si>
    <t>2. Normal indoor lighting</t>
  </si>
  <si>
    <t>2.1 Minimum illuminance to perform work</t>
  </si>
  <si>
    <t>Application 2.1</t>
  </si>
  <si>
    <t>2.2 Average precision level work, general process in chemical industry and food processing, reading</t>
  </si>
  <si>
    <t>Application 2.2</t>
  </si>
  <si>
    <t>2.3 Checking work, drawing room, detailed part assembly, high precision of drawing work and color required</t>
  </si>
  <si>
    <t>Application 2.3</t>
  </si>
  <si>
    <t>2.4 High precision machinery operating work, electronic part assembly and small tools required high precision level, meter and check complicated parts (task light can be used)</t>
  </si>
  <si>
    <t>Application 2.4</t>
  </si>
  <si>
    <t>3. High precision level tasks</t>
  </si>
  <si>
    <t>3.0 Working with detailed, precision and particular e.g. small items or parts</t>
  </si>
  <si>
    <t>Application 3.0</t>
  </si>
  <si>
    <r>
      <rPr>
        <sz val="10"/>
        <color rgb="FF943634"/>
        <rFont val="Arial"/>
        <family val="2"/>
      </rPr>
      <t>Table</t>
    </r>
    <r>
      <rPr>
        <sz val="10"/>
        <rFont val="Arial"/>
        <family val="2"/>
      </rPr>
      <t>: Minimum required Illuminance levels (Adapted from Table 12 of the Guidelines for Building Energy Code QCVN 09:2013/BXD)</t>
    </r>
  </si>
  <si>
    <t>Ensure sufficient light levels in the spaces by meeting recommendations on average illuminance in Table below.</t>
  </si>
  <si>
    <t>Occupied space</t>
  </si>
  <si>
    <t>Lumens needed</t>
  </si>
  <si>
    <t>Lighting fixtures installed</t>
  </si>
  <si>
    <t>Total lumens from installed lights</t>
  </si>
  <si>
    <r>
      <rPr>
        <b/>
        <u/>
        <sz val="10"/>
        <rFont val="Arial"/>
        <family val="2"/>
      </rPr>
      <t>Criteria</t>
    </r>
    <r>
      <rPr>
        <b/>
        <sz val="10"/>
        <rFont val="Arial"/>
        <family val="2"/>
      </rPr>
      <t>: 95% of the occupied spaces must meet recommendations on average illuminance.</t>
    </r>
  </si>
  <si>
    <r>
      <t xml:space="preserve">• </t>
    </r>
    <r>
      <rPr>
        <b/>
        <sz val="10"/>
        <color rgb="FF943634"/>
        <rFont val="Arial"/>
        <family val="2"/>
      </rPr>
      <t>illuminance uniformity</t>
    </r>
    <r>
      <rPr>
        <sz val="10"/>
        <rFont val="Arial"/>
        <family val="2"/>
      </rPr>
      <t xml:space="preserve">. It is the ratio of the minimum illuminance to average illuminance. The minimum illuminance uniformity is required on a given plane (i.e. work plane for offices) and may consider all types of lighting (general, accent, task, display).  </t>
    </r>
  </si>
  <si>
    <r>
      <t xml:space="preserve">• </t>
    </r>
    <r>
      <rPr>
        <b/>
        <sz val="10"/>
        <color rgb="FF943634"/>
        <rFont val="Arial"/>
        <family val="2"/>
      </rPr>
      <t>Color rendering index (CRI)</t>
    </r>
    <r>
      <rPr>
        <sz val="10"/>
        <rFont val="Arial"/>
        <family val="2"/>
      </rPr>
      <t xml:space="preserve"> is a quantitative measure of the ability of a light source to reveal the colors of various objects faithfully in comparison with an ideal or natural light source.</t>
    </r>
  </si>
  <si>
    <r>
      <t xml:space="preserve">• </t>
    </r>
    <r>
      <rPr>
        <b/>
        <sz val="10"/>
        <color rgb="FF943634"/>
        <rFont val="Arial"/>
        <family val="2"/>
      </rPr>
      <t>Glare</t>
    </r>
    <r>
      <rPr>
        <sz val="10"/>
        <rFont val="Arial"/>
        <family val="2"/>
      </rPr>
      <t xml:space="preserve"> is the sensation produced by excessively bright areas or excessively marked differences in luminance within an observer’s field of view. Glare which is found disturbing, which impairs our sense of wellbeing, is known as discomfort glare.</t>
    </r>
  </si>
  <si>
    <r>
      <t xml:space="preserve">• </t>
    </r>
    <r>
      <rPr>
        <b/>
        <sz val="10"/>
        <color rgb="FF943634"/>
        <rFont val="Arial"/>
        <family val="2"/>
      </rPr>
      <t xml:space="preserve">Individual occupant spaces </t>
    </r>
    <r>
      <rPr>
        <sz val="10"/>
        <rFont val="Arial"/>
        <family val="2"/>
      </rPr>
      <t xml:space="preserve">are spaces where occupants perform distinct tasks from one another. </t>
    </r>
  </si>
  <si>
    <r>
      <t xml:space="preserve">• </t>
    </r>
    <r>
      <rPr>
        <b/>
        <sz val="10"/>
        <color rgb="FF943634"/>
        <rFont val="Arial"/>
        <family val="2"/>
      </rPr>
      <t xml:space="preserve">Multi-occupant spaces </t>
    </r>
    <r>
      <rPr>
        <sz val="10"/>
        <rFont val="Arial"/>
        <family val="2"/>
      </rPr>
      <t>are places of congregation, or where occupants pursue overlapping or collaborative tasks (e.g. conference rooms, classrooms, cafeteria, lounges, etc.)</t>
    </r>
  </si>
  <si>
    <r>
      <rPr>
        <u/>
        <sz val="10"/>
        <rFont val="Arial"/>
        <family val="2"/>
      </rPr>
      <t>Exceptions</t>
    </r>
    <r>
      <rPr>
        <sz val="10"/>
        <rFont val="Arial"/>
        <family val="2"/>
      </rPr>
      <t>: Light sources located in areas where the activity is not impeded by a lower CRI (storage areas, mechanical rooms, etc.) or light sources specifically designed to provide colored lighting for effect or other special use are excluded from the calculations if they have a CRI lower than 80.</t>
    </r>
  </si>
  <si>
    <t xml:space="preserve">• Projects that are listed in Decision 1315/QĐ-TTg such as exhibition centres, sporting halls, hotels, etc. may allow smoking in designated areas with a separated ventilation system inside the building. </t>
  </si>
  <si>
    <r>
      <rPr>
        <u/>
        <sz val="10"/>
        <rFont val="Arial"/>
        <family val="2"/>
      </rPr>
      <t>Exceptions</t>
    </r>
    <r>
      <rPr>
        <sz val="10"/>
        <rFont val="Arial"/>
        <family val="2"/>
      </rPr>
      <t>:</t>
    </r>
  </si>
  <si>
    <t>• Apartments and dwelling-units</t>
  </si>
  <si>
    <r>
      <t>- ceiling or wall fans are installed with at least one fan for every 20 m</t>
    </r>
    <r>
      <rPr>
        <vertAlign val="superscript"/>
        <sz val="10"/>
        <rFont val="Arial"/>
        <family val="2"/>
      </rPr>
      <t>2</t>
    </r>
  </si>
  <si>
    <t>- high-volume low-speed (HVLS) fans are installed</t>
  </si>
  <si>
    <r>
      <rPr>
        <u/>
        <sz val="10"/>
        <rFont val="Arial"/>
        <family val="2"/>
      </rPr>
      <t>Method 1</t>
    </r>
    <r>
      <rPr>
        <sz val="10"/>
        <rFont val="Arial"/>
        <family val="2"/>
      </rPr>
      <t>: Spaces shall meet the requirements of the adaptive method in ASHRAE 55 (version 2004, 2010 or 2013). 
In particular, at design conditions, indoor operative temperature of the spaces should be within the 80% acceptability limits.</t>
    </r>
  </si>
  <si>
    <r>
      <rPr>
        <u/>
        <sz val="10"/>
        <rFont val="Arial"/>
        <family val="2"/>
      </rPr>
      <t>Method 2</t>
    </r>
    <r>
      <rPr>
        <sz val="10"/>
        <rFont val="Arial"/>
        <family val="2"/>
      </rPr>
      <t>: Spaces comply with at least 1 strategy in each of the three following categories:</t>
    </r>
  </si>
  <si>
    <r>
      <t>Method 2:</t>
    </r>
    <r>
      <rPr>
        <sz val="10"/>
        <rFont val="Arial"/>
        <family val="2"/>
      </rPr>
      <t xml:space="preserve"> Strategies to increase indoor air velocity, reduce external heat gains and reduce internal heat gains should be implemented in each spaces.</t>
    </r>
  </si>
  <si>
    <t>Compliant area of air-conditioned and mixed-mode ventilated spaces (%)</t>
  </si>
  <si>
    <t>Compliant area of naturally ventilated spaces (%)</t>
  </si>
  <si>
    <t>• Result for all the occupied spaces:</t>
  </si>
  <si>
    <t>Compliant area (%)</t>
  </si>
  <si>
    <r>
      <t>•</t>
    </r>
    <r>
      <rPr>
        <sz val="10"/>
        <color rgb="FF984806"/>
        <rFont val="Arial"/>
        <family val="2"/>
      </rPr>
      <t xml:space="preserve"> </t>
    </r>
    <r>
      <rPr>
        <b/>
        <sz val="10"/>
        <color rgb="FF984806"/>
        <rFont val="Arial"/>
        <family val="2"/>
      </rPr>
      <t>Commissioning</t>
    </r>
    <r>
      <rPr>
        <sz val="10"/>
        <rFont val="Arial"/>
        <family val="2"/>
      </rPr>
      <t xml:space="preserve"> is the process by which an equipment installed is tested to verify if it functions according to its design objectives or specifications.</t>
    </r>
  </si>
  <si>
    <r>
      <t xml:space="preserve">• </t>
    </r>
    <r>
      <rPr>
        <b/>
        <sz val="10"/>
        <color rgb="FF984806"/>
        <rFont val="Arial"/>
        <family val="2"/>
      </rPr>
      <t>Testing</t>
    </r>
    <r>
      <rPr>
        <sz val="10"/>
        <rFont val="Arial"/>
        <family val="2"/>
      </rPr>
      <t xml:space="preserve"> is the use of specialized and calibrated instruments to measure temperatures, pressures, rotational speeds, electrical characteristics, velocities, and air and water quantities for an evaluation of equipment and system performance.</t>
    </r>
  </si>
  <si>
    <r>
      <t xml:space="preserve">• </t>
    </r>
    <r>
      <rPr>
        <b/>
        <sz val="10"/>
        <color rgb="FF984806"/>
        <rFont val="Arial"/>
        <family val="2"/>
      </rPr>
      <t>Balancing</t>
    </r>
    <r>
      <rPr>
        <sz val="10"/>
        <rFont val="Arial"/>
        <family val="2"/>
      </rPr>
      <t xml:space="preserve"> is the methodical regulation of system fluid flows (air or water) through the use of acceptable procedures to achieve the desired or specified airflow or water flow.</t>
    </r>
  </si>
  <si>
    <r>
      <t xml:space="preserve">• </t>
    </r>
    <r>
      <rPr>
        <b/>
        <sz val="10"/>
        <color rgb="FF984806"/>
        <rFont val="Arial"/>
        <family val="2"/>
      </rPr>
      <t>Adjusting</t>
    </r>
    <r>
      <rPr>
        <sz val="10"/>
        <rFont val="Arial"/>
        <family val="2"/>
      </rPr>
      <t xml:space="preserve"> is the final setting of balancing devices such as dampers and valves, adjusting fan speeds and pump impeller sizes, in addition to automatic control devices such as thermostats and pressure controllers to achieve maximum specified system performance and efficiency during normal operation</t>
    </r>
  </si>
  <si>
    <r>
      <t>•</t>
    </r>
    <r>
      <rPr>
        <sz val="10"/>
        <color rgb="FF984806"/>
        <rFont val="Arial"/>
        <family val="2"/>
      </rPr>
      <t xml:space="preserve"> </t>
    </r>
    <r>
      <rPr>
        <b/>
        <sz val="10"/>
        <color rgb="FF984806"/>
        <rFont val="Arial"/>
        <family val="2"/>
      </rPr>
      <t>Owner’s Project Requirements</t>
    </r>
    <r>
      <rPr>
        <sz val="10"/>
        <color rgb="FF984806"/>
        <rFont val="Arial"/>
        <family val="2"/>
      </rPr>
      <t xml:space="preserve"> </t>
    </r>
    <r>
      <rPr>
        <sz val="10"/>
        <rFont val="Arial"/>
        <family val="2"/>
      </rPr>
      <t xml:space="preserve">is a written document that details the functional requirements of a project and the expectations of how it will be used and operated. This includes project and design goals, measurable performance criteria, budgets, schedules, success criteria, owner’s directives, and supporting information. </t>
    </r>
  </si>
  <si>
    <r>
      <t xml:space="preserve">• </t>
    </r>
    <r>
      <rPr>
        <b/>
        <sz val="10"/>
        <color rgb="FF984806"/>
        <rFont val="Arial"/>
        <family val="2"/>
      </rPr>
      <t>Basis of Design</t>
    </r>
    <r>
      <rPr>
        <sz val="10"/>
        <rFont val="Arial"/>
        <family val="2"/>
      </rPr>
      <t xml:space="preserve"> is a document that records the concepts, calculations, decisions, and product selections used to meet the Owner’s Project Requirements and to satisfy applicable regulatory requirements, standards, and guidelines. The document includes both narrative descriptions and specific assumptions made by the designers.</t>
    </r>
  </si>
  <si>
    <t>• owner's project requirements and basis of design must be produced and handed to the commissioning agent;</t>
  </si>
  <si>
    <t>•  the commissioning agent must be independent of the project and of any consultant, contractor or sub-contractor that has been involved in the installation of the commissioned systems; and</t>
  </si>
  <si>
    <t>• the commissioning agent must be a registered professional engineer or qualified technician with demonstrated knowledge on nominated systems commissioning, and has previous experience with the commissioning process of projects similar in scope.</t>
  </si>
  <si>
    <t>Complete the information below on the commissioning agent and the commissioning process:</t>
  </si>
  <si>
    <t>Commissioning activities</t>
  </si>
  <si>
    <t>To meet the requirements of this strategy:</t>
  </si>
  <si>
    <t>1. Specific LOTUS Terms</t>
  </si>
  <si>
    <t>2. LOTUS Submission terms</t>
  </si>
  <si>
    <t>3. Technical terms</t>
  </si>
  <si>
    <t>1. Specific LOTUS terms</t>
  </si>
  <si>
    <r>
      <rPr>
        <b/>
        <sz val="10"/>
        <color rgb="FFFFA500"/>
        <rFont val="Arial"/>
        <family val="2"/>
      </rPr>
      <t>Certification Agreement</t>
    </r>
    <r>
      <rPr>
        <sz val="10"/>
        <rFont val="Arial"/>
        <family val="2"/>
      </rPr>
      <t xml:space="preserve"> - The Certification Agreement is the legally binding contract signed between the Applicant and the Assessment Organization upon registration.</t>
    </r>
  </si>
  <si>
    <r>
      <rPr>
        <b/>
        <sz val="10"/>
        <color rgb="FFFFA500"/>
        <rFont val="Arial"/>
        <family val="2"/>
      </rPr>
      <t>Registration Fee</t>
    </r>
    <r>
      <rPr>
        <sz val="10"/>
        <rFont val="Arial"/>
        <family val="2"/>
      </rPr>
      <t xml:space="preserve"> - The Registration Fee is a one off charge for the administration process of registration to a LOTUS Rating System and is bound by the Certification Agreement.</t>
    </r>
  </si>
  <si>
    <r>
      <rPr>
        <b/>
        <sz val="10"/>
        <color rgb="FFFFA500"/>
        <rFont val="Arial"/>
        <family val="2"/>
      </rPr>
      <t>Assessment Fee</t>
    </r>
    <r>
      <rPr>
        <sz val="10"/>
        <rFont val="Arial"/>
        <family val="2"/>
      </rPr>
      <t xml:space="preserve"> - The Assessment Fee, value dependent on the size of the project, is a one off charge for the total administration process of LOTUS Certification and is bound by the Certification Agreement.</t>
    </r>
  </si>
  <si>
    <r>
      <rPr>
        <b/>
        <sz val="10"/>
        <color rgb="FFFFA500"/>
        <rFont val="Arial"/>
        <family val="2"/>
      </rPr>
      <t>Assessment Organization</t>
    </r>
    <r>
      <rPr>
        <sz val="10"/>
        <rFont val="Arial"/>
        <family val="2"/>
      </rPr>
      <t xml:space="preserve"> – The organization that performs the assessment of the projects applying for LOTUS Certification.</t>
    </r>
  </si>
  <si>
    <r>
      <rPr>
        <b/>
        <sz val="10"/>
        <color rgb="FFFFA500"/>
        <rFont val="Arial"/>
        <family val="2"/>
      </rPr>
      <t>Assessment Organization Representative</t>
    </r>
    <r>
      <rPr>
        <sz val="10"/>
        <rFont val="Arial"/>
        <family val="2"/>
      </rPr>
      <t xml:space="preserve"> - The Assessment Organization Representative is nominated within the Registration Process and will be the Assessment Organization primary representative that liaises with the Applicant Representative throughout the duration of the project.</t>
    </r>
  </si>
  <si>
    <r>
      <rPr>
        <b/>
        <sz val="10"/>
        <color rgb="FFFFA500"/>
        <rFont val="Arial"/>
        <family val="2"/>
      </rPr>
      <t>Applicant Representative</t>
    </r>
    <r>
      <rPr>
        <sz val="10"/>
        <rFont val="Arial"/>
        <family val="2"/>
      </rPr>
      <t xml:space="preserve"> - The Applicant Representative is responsible for all elements of the certification and submission process within LOTUS Rating Systems. The Applicant Representative will directly liaise with the Assessment Organization Representative throughout all stages of LOTUS Certification.</t>
    </r>
  </si>
  <si>
    <r>
      <rPr>
        <b/>
        <sz val="10"/>
        <color rgb="FFFFA500"/>
        <rFont val="Arial"/>
        <family val="2"/>
      </rPr>
      <t>Project Identification Number (PIN)</t>
    </r>
    <r>
      <rPr>
        <sz val="10"/>
        <rFont val="Arial"/>
        <family val="2"/>
      </rPr>
      <t xml:space="preserve"> - The Project Identification Number (PIN) is a unique reference number issued at the Registration Confirmation. This reference number must be protected and is for the use of the Applicant Representative when providing submissions to the Assessment Organization.</t>
    </r>
  </si>
  <si>
    <r>
      <rPr>
        <b/>
        <sz val="10"/>
        <color rgb="FFFFA500"/>
        <rFont val="Arial"/>
        <family val="2"/>
      </rPr>
      <t>Submission</t>
    </r>
    <r>
      <rPr>
        <sz val="10"/>
        <rFont val="Arial"/>
        <family val="2"/>
      </rPr>
      <t xml:space="preserve"> - In each Credit, the Submission is the process where all documents are provided to the Assessment Organization Representative for assessment.</t>
    </r>
  </si>
  <si>
    <r>
      <t>On receipt of the signed copy of th</t>
    </r>
    <r>
      <rPr>
        <sz val="11"/>
        <rFont val="Calibri"/>
        <family val="2"/>
        <scheme val="minor"/>
      </rPr>
      <t>e Certification Agreement,</t>
    </r>
    <r>
      <rPr>
        <sz val="11"/>
        <color theme="1"/>
        <rFont val="Calibri"/>
        <family val="2"/>
        <scheme val="minor"/>
      </rPr>
      <t xml:space="preserve"> the project registration is complete. The Applicant will then be issued with a </t>
    </r>
    <r>
      <rPr>
        <b/>
        <sz val="11"/>
        <color rgb="FFFFA500"/>
        <rFont val="Calibri"/>
        <family val="2"/>
        <scheme val="minor"/>
      </rPr>
      <t>Project Identification Number (PIN)</t>
    </r>
    <r>
      <rPr>
        <sz val="11"/>
        <color theme="1"/>
        <rFont val="Calibri"/>
        <family val="2"/>
        <scheme val="minor"/>
      </rPr>
      <t xml:space="preserve">, receive the Project submission folder and be assigned an </t>
    </r>
    <r>
      <rPr>
        <b/>
        <sz val="11"/>
        <color rgb="FFFFA500"/>
        <rFont val="Calibri"/>
        <family val="2"/>
        <scheme val="minor"/>
      </rPr>
      <t>Assessment Organization Representative</t>
    </r>
    <r>
      <rPr>
        <sz val="11"/>
        <color theme="1"/>
        <rFont val="Calibri"/>
        <family val="2"/>
        <scheme val="minor"/>
      </rPr>
      <t xml:space="preserve"> for the certification process. </t>
    </r>
  </si>
  <si>
    <r>
      <t xml:space="preserve">Once the application form has been confirmed as complete, a </t>
    </r>
    <r>
      <rPr>
        <b/>
        <sz val="11"/>
        <color rgb="FFFFA500"/>
        <rFont val="Calibri"/>
        <family val="2"/>
        <scheme val="minor"/>
      </rPr>
      <t xml:space="preserve">Registration Fee </t>
    </r>
    <r>
      <rPr>
        <sz val="11"/>
        <rFont val="Calibri"/>
        <family val="2"/>
        <scheme val="minor"/>
      </rPr>
      <t>will be invoiced</t>
    </r>
    <r>
      <rPr>
        <b/>
        <sz val="11"/>
        <color rgb="FFFFA500"/>
        <rFont val="Calibri"/>
        <family val="2"/>
        <scheme val="minor"/>
      </rPr>
      <t xml:space="preserve"> </t>
    </r>
    <r>
      <rPr>
        <sz val="11"/>
        <color theme="1"/>
        <rFont val="Calibri"/>
        <family val="2"/>
        <scheme val="minor"/>
      </rPr>
      <t>. On receipt of the registration fee, a</t>
    </r>
    <r>
      <rPr>
        <b/>
        <sz val="11"/>
        <color rgb="FFFFA500"/>
        <rFont val="Calibri"/>
        <family val="2"/>
        <scheme val="minor"/>
      </rPr>
      <t xml:space="preserve"> Certification Agreement</t>
    </r>
    <r>
      <rPr>
        <sz val="11"/>
        <color theme="1"/>
        <rFont val="Calibri"/>
        <family val="2"/>
        <scheme val="minor"/>
      </rPr>
      <t xml:space="preserve"> with all necessary terms and conditions will be signed by both the Applicant and the Assessment Organization. 
At this point, the Applicant is to nominate an </t>
    </r>
    <r>
      <rPr>
        <b/>
        <sz val="11"/>
        <color rgb="FFFFA500"/>
        <rFont val="Calibri"/>
        <family val="2"/>
        <scheme val="minor"/>
      </rPr>
      <t>Applicant Representative</t>
    </r>
    <r>
      <rPr>
        <sz val="11"/>
        <color theme="1"/>
        <rFont val="Calibri"/>
        <family val="2"/>
        <scheme val="minor"/>
      </rPr>
      <t xml:space="preserve"> for the duration of the project that will be the primary contact for the Assessment Organization. </t>
    </r>
  </si>
  <si>
    <t xml:space="preserve">When the Applicant is ready to submit project documentation and start the assessment process for Certification, the Applicant should notify the Assessment Organization Representative. </t>
  </si>
  <si>
    <r>
      <t xml:space="preserve">Then, the </t>
    </r>
    <r>
      <rPr>
        <b/>
        <sz val="11"/>
        <color rgb="FFFFA500"/>
        <rFont val="Calibri"/>
        <family val="2"/>
        <scheme val="minor"/>
      </rPr>
      <t>Assessment Fee</t>
    </r>
    <r>
      <rPr>
        <sz val="11"/>
        <color theme="1"/>
        <rFont val="Calibri"/>
        <family val="2"/>
        <scheme val="minor"/>
      </rPr>
      <t xml:space="preserve"> will be invoiced and sent to the Applicant. The Assesment Fee must be paid prior to any submission of documentation for Provisional or Full Certification. </t>
    </r>
  </si>
  <si>
    <t>The data supplied will be assessed by the Project Assessment Committee. Results of the assessment will be provided to the Applicant Representative within 6 weeks of the submission date.</t>
  </si>
  <si>
    <t>Notification Form submitted to the Assessment Organization Repreentative a minimum of 2 weeks before submissions</t>
  </si>
  <si>
    <t>Certification Agreement has been signed</t>
  </si>
  <si>
    <t>Assessment fee has been paid</t>
  </si>
  <si>
    <t>Upload the zip file on a file hosting website (such as dropbox) and send the link to the Assessment Organization Representative by email -OR- include the file on a CD/flash drive and send by mail to the Assessment Organization.</t>
  </si>
  <si>
    <t>Submit the completed User Tool to the Assessment Organization with:</t>
  </si>
  <si>
    <t>Please make sure the checklist below is completed before sending submissions to the Assessment Organization for Full Certification.</t>
  </si>
  <si>
    <t>Please make sure the checklist below is completed before sending submissions to the Assessment Organization for Provisional Certification.</t>
  </si>
  <si>
    <t>Platinum Members</t>
  </si>
  <si>
    <t>Gold Members</t>
  </si>
  <si>
    <t>Silver Members</t>
  </si>
  <si>
    <t xml:space="preserve">    </t>
  </si>
  <si>
    <t xml:space="preserve">   </t>
  </si>
  <si>
    <t xml:space="preserve">            </t>
  </si>
  <si>
    <t>Arcadis Vietnam Co., Ltd</t>
  </si>
  <si>
    <t>Bambubuild</t>
  </si>
  <si>
    <t>CC1-MEKONG</t>
  </si>
  <si>
    <t>FDC Investment Construction &amp; Real Estate</t>
  </si>
  <si>
    <t xml:space="preserve">Hoang Tam Architecture &amp; Interior </t>
  </si>
  <si>
    <t>Nam A Jsc.</t>
  </si>
  <si>
    <t>New Era Block Tile JSC</t>
  </si>
  <si>
    <t>Ngoc Nguyet Service &amp; Trading Co., Ltd</t>
  </si>
  <si>
    <t>PALM Landscape</t>
  </si>
  <si>
    <t>TT-Associates</t>
  </si>
  <si>
    <t>Unity Architects</t>
  </si>
  <si>
    <t>WORK &amp; WONDERS Co., Ltd</t>
  </si>
  <si>
    <t>Zamil Steel Vietnam</t>
  </si>
  <si>
    <t>Please make sure to fully complete the Project information sheet before sending submissions to the Assessment Organization.
Don't forget to select the correct stage of submissions.</t>
  </si>
  <si>
    <t>Below are the provisional results of the project. These results are only indicative. 
Actual results will only be given after assessment of the submitted documentation and verification of the compliance of all the credits targeted.</t>
  </si>
  <si>
    <t>Option B: Energy monitor</t>
  </si>
  <si>
    <t>An energy monitor is an electronic device that provides feedback on electricity consumption.</t>
  </si>
  <si>
    <t>A permanent energy monitor should be installed and should:</t>
  </si>
  <si>
    <t>• Have an in-house visual display located conveniently for occupants - OR - have the ability to communicate the information to a personal computer</t>
  </si>
  <si>
    <t xml:space="preserve">• Provide real-time feedback on energy consumption </t>
  </si>
  <si>
    <t>• Provide a function to analyse data at regular intervals (daily, weekly, monthly or yearly)</t>
  </si>
  <si>
    <t>Reply to the following questions:</t>
  </si>
  <si>
    <t>• Have a permanent energy monitor been installed ?</t>
  </si>
  <si>
    <t>• Does it have an in-house visual display and/or have the ability to communicate the information to a PC ?</t>
  </si>
  <si>
    <t>• Does it provide real-time feedback on energy consumption ?</t>
  </si>
  <si>
    <t>• Does it provide a function to analyse data at regular intervals (daily, weekly, monthly or yearly) ?</t>
  </si>
  <si>
    <t>Compliant energy monitor?</t>
  </si>
  <si>
    <t>Once payment for Registration Fee has been received and the certification agreement has been duly signed, the Applicant Representative will be provided with a pre-arranged submission folder: the Project Submission Folder.</t>
  </si>
  <si>
    <t>The main material to LOTUS Interiors Submissions is the LOTUS Interiors User Tool. This tool is a template for the applicant to:</t>
  </si>
  <si>
    <t>Resources Folder</t>
  </si>
  <si>
    <t>• LOTUS Interiors Pilot - User Tool</t>
  </si>
  <si>
    <t>• have a complete overview of LOTUS Interiors</t>
  </si>
  <si>
    <t>The Project Submission Folder is the main folder provided that, upon completion, will be returned to the Assessment Organization Representative for assessment. The Project Submission Folder contains 8 sub-folders for the LOTUS Interiors Categories and a General Information folder.</t>
  </si>
  <si>
    <t>LT-1 Option A</t>
  </si>
  <si>
    <t>Proposed Innovation</t>
  </si>
  <si>
    <t>Innovative nature</t>
  </si>
  <si>
    <t>Environmental benefit</t>
  </si>
  <si>
    <t>Description of the measures taken to surpass the initial credit requirement</t>
  </si>
  <si>
    <t>Implement at least one measure in 4 of the 5 following categories:</t>
  </si>
  <si>
    <t>• HVAC protection</t>
  </si>
  <si>
    <t>• Contaminant source control and pathway interruption</t>
  </si>
  <si>
    <t>• Housekeeping</t>
  </si>
  <si>
    <t>• Scheduling</t>
  </si>
  <si>
    <t xml:space="preserve">• Moisture and mold control </t>
  </si>
  <si>
    <t>Reused materials/products</t>
  </si>
  <si>
    <t>Reused materials/products include the following materials/products:</t>
  </si>
  <si>
    <t>- materials/products purchased from a second-hand retailer</t>
  </si>
  <si>
    <t>- materials/products that were used on the current site by a previous occupant or installed by a building owner as part of make good processes prior to fitout works by the tenant.</t>
  </si>
  <si>
    <t>- materials/products relocated to the site from the project’s previous fitout or building.</t>
  </si>
  <si>
    <t>Materials/Products with reused components</t>
  </si>
  <si>
    <t>Materials/Products composed with some reused components (following the above definition of reused materials).</t>
  </si>
  <si>
    <t>Materials/Products with recycled content</t>
  </si>
  <si>
    <t>Materials/Products with a post-consumer recycled content and/or a pre-consumer recycled content.</t>
  </si>
  <si>
    <t>Materials/Products made of rapidly renewable materials</t>
  </si>
  <si>
    <t>Materials/Products made of natural building materials planted and harvested within a 10 year cycle such as bamboo, cork, coconut, straw, reed, etc.</t>
  </si>
  <si>
    <t>Materials/Products made of timber coming from a sustainable source, preferably accredited by the Forest Stewardship Council in Vietnam (FSC) or the Programme for the Endorsement of Forest Certification (PEFC)</t>
  </si>
  <si>
    <t>Materials/Products from an ISO 14001 certified manufacturer</t>
  </si>
  <si>
    <t xml:space="preserve">Materials/Products that have been manufactured in an ISO 14001 certified facility. </t>
  </si>
  <si>
    <t>Materials/Products with an environmental product declaration</t>
  </si>
  <si>
    <t>Materials/Products for which an environmental product declaration (EPD) has been produced by the manufacturer.</t>
  </si>
  <si>
    <t>Locally manufactured materials/products</t>
  </si>
  <si>
    <t xml:space="preserve">Materials/Products that are manufactured locally (within a 500 km radius of the project site or 500 km total transportation distance); and </t>
  </si>
  <si>
    <t>Locally manufactured materials/products with locally extracted and harvested materials</t>
  </si>
  <si>
    <t>Materials/Products that are manufactured locally with materials extracted and harvested locally (within a 500 km radius of the project site or 500 km total transportation distance).</t>
  </si>
  <si>
    <t>LOTUS Interiors V1 Scorecard</t>
  </si>
  <si>
    <t>LOTUS Interiors is part of the LOTUS Rating Systems 'family' which includes LOTUS Non-Residential, LOTUS Multi-family Residential, LOTUS Buildings in Operation, LOTUS Homes, LOTUS Small Buildings and LOTUS Small Interiors.</t>
  </si>
  <si>
    <t>WP-3 Operation Waste Management</t>
  </si>
  <si>
    <t>WP-PR-1 &amp; WP-2 Fit-out Waste</t>
  </si>
  <si>
    <t>WP-2 Fit-out Waste</t>
  </si>
  <si>
    <t>WP-3 Operation Waste management</t>
  </si>
  <si>
    <t>WP-PR-1 Fit-out Waste</t>
  </si>
  <si>
    <t>• Ceilings and floorings</t>
  </si>
  <si>
    <t xml:space="preserve">H-11 Acoustic Comfort </t>
  </si>
  <si>
    <r>
      <rPr>
        <i/>
        <sz val="10"/>
        <color rgb="FF943634"/>
        <rFont val="Arial"/>
        <family val="2"/>
      </rPr>
      <t>Table H.8</t>
    </r>
    <r>
      <rPr>
        <i/>
        <sz val="10"/>
        <rFont val="Arial"/>
        <family val="2"/>
      </rPr>
      <t xml:space="preserve">: Maximum allowable noise level for public buildings </t>
    </r>
  </si>
  <si>
    <t>(Source: Extract from Table 2 - TCXDVN 175:2005 - Maximum permitted noise levels for public buildings – Design standard)</t>
  </si>
  <si>
    <t>Time (hr)</t>
  </si>
  <si>
    <t>Maximum noise level (dB,A)</t>
  </si>
  <si>
    <t>EDUCATION FACILITIES</t>
  </si>
  <si>
    <t xml:space="preserve">1- Kindergarten, nursery, boarding primary schools </t>
  </si>
  <si>
    <t xml:space="preserve">Bed rooms in kindergarten, boarding primary schools </t>
  </si>
  <si>
    <t>Class room</t>
  </si>
  <si>
    <t>Playground (outside)</t>
  </si>
  <si>
    <t>Areas around schools (outside)</t>
  </si>
  <si>
    <t>2- Secondary or tertiary schools, universities, colleges, vocational schools</t>
  </si>
  <si>
    <t>Conference hall</t>
  </si>
  <si>
    <t xml:space="preserve">lecture hall, class rooms </t>
  </si>
  <si>
    <t>Labs</t>
  </si>
  <si>
    <t>Offices in schools</t>
  </si>
  <si>
    <t>Staff rest rooms</t>
  </si>
  <si>
    <r>
      <rPr>
        <b/>
        <sz val="10"/>
        <rFont val="Arial"/>
        <family val="2"/>
      </rPr>
      <t>Option A: Sub metering and Power monitoring system</t>
    </r>
    <r>
      <rPr>
        <sz val="10"/>
        <rFont val="Arial"/>
        <family val="2"/>
      </rPr>
      <t xml:space="preserve">
For 1 point, install individual meters to monitor the consumption of all major electrical energy uses
For 2 points, install a power monitoring system to monitor the consumption of all major electrical energy uses</t>
    </r>
  </si>
  <si>
    <t>Product with EPD</t>
  </si>
  <si>
    <t>Reused</t>
  </si>
  <si>
    <t>Reused components</t>
  </si>
  <si>
    <t>Recycled Content</t>
  </si>
  <si>
    <t>Rapidly renewable content</t>
  </si>
  <si>
    <t>Timber from a sustainable source</t>
  </si>
  <si>
    <t>Material with EPD</t>
  </si>
  <si>
    <t>Designed for disassembly</t>
  </si>
  <si>
    <t>Locally extracted/harvested/manufactured</t>
  </si>
  <si>
    <t>Locally manufactured</t>
  </si>
  <si>
    <t>None</t>
  </si>
  <si>
    <t xml:space="preserve">Non-baked materials </t>
  </si>
  <si>
    <t>Building materials that solidify and meet all required physical properties (compressive strength, bending strength, water absorption, etc.) without undergoing the firing process as traditional baked bricks do. Non-baked materials include: concrete bricks, gypsum panels, AAC blocks, etc.</t>
  </si>
  <si>
    <t xml:space="preserve">Materials designed for disassembly </t>
  </si>
  <si>
    <t>Materials easy to dismantle, to disassemble and to remove from the building for future reuse or recycling.</t>
  </si>
  <si>
    <t>• Materials designed for disassembly</t>
  </si>
  <si>
    <t>• Non-baked materials (for non-structural walls only)</t>
  </si>
  <si>
    <t>Non-baked materials 
(for non-structural walls only)</t>
  </si>
  <si>
    <t>Materials designed for disassembly</t>
  </si>
  <si>
    <t>Reused Product</t>
  </si>
  <si>
    <t>• Products made of timber coming from a sustainable source</t>
  </si>
  <si>
    <t>0.5 x % of timber from a sustainable source (by mass)</t>
  </si>
  <si>
    <t>Timber coming from a sustainable source</t>
  </si>
  <si>
    <t>• Materials made of timber from a sustainable source</t>
  </si>
  <si>
    <t>Materials/Products made of timber from a sustainable source</t>
  </si>
  <si>
    <t>Type of material</t>
  </si>
  <si>
    <t>• Bill of quantities -OR- estimated costing highlighting all the materials to be installed</t>
  </si>
  <si>
    <t>• Bill of quantities -OR- estimated costing highlighting all the furniture products to be installed</t>
  </si>
  <si>
    <r>
      <rPr>
        <b/>
        <sz val="10"/>
        <rFont val="Arial"/>
        <family val="2"/>
      </rPr>
      <t>Strategy B: Reduction of Waste Generation</t>
    </r>
    <r>
      <rPr>
        <sz val="10"/>
        <rFont val="Arial"/>
        <family val="2"/>
      </rPr>
      <t xml:space="preserve">
Implement 2 strategies to reduce the waste generation during fit-out</t>
    </r>
  </si>
  <si>
    <t>Click on the links on 
the right to navigate 
to other H&amp;C credits</t>
  </si>
  <si>
    <t>H-3 Low-VOC Emissions Products</t>
  </si>
  <si>
    <t>If it had not been approved at Provisional Certification or if there is any change:
• Evidence showing that the aforementioned furniture products are sustainable such as manufacturer’s data, certificate, test report, signed and stamped letter from manufacturer, etc.</t>
  </si>
  <si>
    <t>Not submitted</t>
  </si>
  <si>
    <t>• Evidence showing that the water filtration system has been installed such as invoices, receipts, photographs, etc.</t>
  </si>
  <si>
    <t>• Is the project an apartment or a dwelling unit?</t>
  </si>
  <si>
    <t>• Plans and elevations marking all operable wall and roof openings with their size</t>
  </si>
  <si>
    <t>• As-built plans and elevations marking all operable wall and roof openings with their size</t>
  </si>
  <si>
    <t>• Photographs showing operable wall and roof openings</t>
  </si>
  <si>
    <t>For mechanically ventilated and mixed-mode ventilated spaces, submit all the documentation listed below:</t>
  </si>
  <si>
    <t>For naturally ventilated and mixed-mode ventilated spaces, submit all the documentation listed below:</t>
  </si>
  <si>
    <t>• Calculations demonstrating that the mechanical ventilation system designed meet the requirements of the standard selected for compliance</t>
  </si>
  <si>
    <t>• As-built mechanical drawings showing fresh air supply rates of AHUs and fans</t>
  </si>
  <si>
    <t>• Evidence of the HVAC equipment installed, such as invoices, receipts, commissioning records, etc.</t>
  </si>
  <si>
    <t>If it had not been approved at Provisional Certification or if there is any change:
• Calculations demonstrating that the mechanical ventilation system installed meet the requirements of the standard selected for compliance</t>
  </si>
  <si>
    <t>• Evidence showing that the aforementioned furniture products have been installed such as invoices, receipts, delivery notes, photographs (if appropriate), etc.</t>
  </si>
  <si>
    <t xml:space="preserve">• Evidence showing that the aforementioned materials have been installed such as invoices, receipts, delivery notes, photographs (if appropriate), etc. </t>
  </si>
  <si>
    <t>• Evidence showing that the CO2 monitoring system has been installed, such as invoices, receipts, commissioning records, photographs, etc.</t>
  </si>
  <si>
    <t>H-3 Strategy E</t>
  </si>
  <si>
    <t>• Evidence that dust, dirt and mold have been removed from all accessible supply air ductwork prior to occupancy, such as ductwork inspection records, photographs (if appropriate), etc.</t>
  </si>
  <si>
    <t>• Flush-out report including a description of the flush-out procedure implemented and a logbook with date, outdoor delivery rates, flushing duration, internal temperature, humidity.</t>
  </si>
  <si>
    <t>• Floor plans and elevations indicating the occupied spaces and all glazed areas</t>
  </si>
  <si>
    <t>If it had not been approved at Provisional Certification or if there is any change:
• Report indicating the inputs and outputs (average daylight factor values of all the occupied rooms) of the modelling</t>
  </si>
  <si>
    <t>• Report indicating the inputs and outputs (average daylight factor values of all the occupied rooms) of the modelling</t>
  </si>
  <si>
    <t>• Floor plans indicating the occupied spaces and the areas with direct line of sight to outdoors</t>
  </si>
  <si>
    <t>• Sections and elevations showing the height and location of external views and the height of solid internal partitions (if any)</t>
  </si>
  <si>
    <t>• Floor plans indicating the occupied spaces and the areas with quality views</t>
  </si>
  <si>
    <t xml:space="preserve">• Renewable energy: 
At least 0.5% of the total energy used in the base building is produced on-site from a renewable energy source </t>
  </si>
  <si>
    <t>If it had not been approved at Provisional Certification or if there is any change:
• Copy (or extracts) of the lease agreement showing the fixed term period of the lease</t>
  </si>
  <si>
    <t>Full certification stage (FC)</t>
  </si>
  <si>
    <t>Provisional Certification stage (PC)</t>
  </si>
  <si>
    <t>If it had not been approved at Provisional Certification or if there is any change:
• Copy (or extracts) of the lease agreement showing the elements specific to a Green lease - OR - copy of a signed agreement between the landlord and tenant following LOTUS requirements</t>
  </si>
  <si>
    <t>• Plans indicating the location where collective transport information will be displayed</t>
  </si>
  <si>
    <t>• Photographs showing that the collective transport information is displayed in the interior space</t>
  </si>
  <si>
    <t xml:space="preserve">• Photographs of the bicycle parking spaces and showering facilities </t>
  </si>
  <si>
    <t>If it had not been approved at Provisional Certification or if there is any change:
• Plans indicating location, size and capacity of bicycle parking spaces and showering facilities</t>
  </si>
  <si>
    <t>If it had not been approved at Provisional Certification or if there is any change:
• Plans indicating location of the electric vehicle charging stations</t>
  </si>
  <si>
    <t>If it had not been approved at Provisional Certification or if there is any change:
• Signed document from the tenant committing to provide private buses for occupants</t>
  </si>
  <si>
    <t>• Evidence showing the implementation of the green transportation program, such as receipts, contracts, photographs, etc.</t>
  </si>
  <si>
    <t>• Evidence showing that the facilities and amenities will be accessible to all the occupants of the project space such as lease agreement, letter of conformation from the owner of the base building, etc.</t>
  </si>
  <si>
    <t xml:space="preserve">• Floor plans showing the location of facilities and amenities that will be provided to occupants </t>
  </si>
  <si>
    <t>If it had not been approved at Provisional Certification or if there is any change:
• Floor plans showing the location of the facilities and amenities provided to occupants</t>
  </si>
  <si>
    <t>If it had not been approved at Provisional Certification or if there is any change:
• Evidence showing that the facilities and amenities are accessible to all the occupants of the project space such as lease agreement, letter of conformation from the owner of the base building, etc.</t>
  </si>
  <si>
    <t xml:space="preserve">• Photographs showing the facilities and amenities provided to occupants </t>
  </si>
  <si>
    <t>If it had not been approved at Provisional Certification or if there is any change:
• Copy of the LOTUS AP certificate</t>
  </si>
  <si>
    <t>• Evidence showing the involvement of a LOTUS AP in the design stage such as minutes of meeting, etc.</t>
  </si>
  <si>
    <t>• Evidence showing the involvement of a LOTUS AP until completion of fit-out such as minutes of meeting, etc.</t>
  </si>
  <si>
    <t>Implement adequate mitigation measures to limit construction noise.</t>
  </si>
  <si>
    <t>• Copy of the owner's project requirements and basis of design documents</t>
  </si>
  <si>
    <t>• Evidence showing the involvement of the commissioning agent such as contract, minutes of meeting, etc.</t>
  </si>
  <si>
    <t>For commissioning, submit all the documentation listed below:</t>
  </si>
  <si>
    <r>
      <rPr>
        <b/>
        <sz val="10"/>
        <rFont val="Arial"/>
        <family val="2"/>
      </rPr>
      <t>Strategy B: Green Training for occupants</t>
    </r>
    <r>
      <rPr>
        <sz val="10"/>
        <rFont val="Arial"/>
        <family val="2"/>
      </rPr>
      <t xml:space="preserve">
Implement a green training program for occupants on the topic of sustainability</t>
    </r>
  </si>
  <si>
    <t xml:space="preserve">Implement a green educational program for occupants on the topic of sustainability. </t>
  </si>
  <si>
    <t>• Green Training program showing topics of the training, schedule and participants</t>
  </si>
  <si>
    <t>• Evidence showing that occupants of the interior space attended the Green Training such as signed attendance sheets, photographs, etc.</t>
  </si>
  <si>
    <t>• Photographs showing that the green awareness campaign is implemented</t>
  </si>
  <si>
    <r>
      <rPr>
        <b/>
        <sz val="10"/>
        <rFont val="Arial"/>
        <family val="2"/>
      </rPr>
      <t>Strategy A: Operation &amp; Maintenance Manual</t>
    </r>
    <r>
      <rPr>
        <sz val="10"/>
        <rFont val="Arial"/>
        <family val="2"/>
      </rPr>
      <t xml:space="preserve">
Provide an Operation &amp; Maintenance Manual for the interior space</t>
    </r>
  </si>
  <si>
    <r>
      <rPr>
        <b/>
        <sz val="10"/>
        <rFont val="Arial"/>
        <family val="2"/>
      </rPr>
      <t>Strategy B: Preventative Maintenance Plan</t>
    </r>
    <r>
      <rPr>
        <sz val="10"/>
        <rFont val="Arial"/>
        <family val="2"/>
      </rPr>
      <t xml:space="preserve">
Produce a preventative maintenance plan</t>
    </r>
  </si>
  <si>
    <t>• Noise levels measurements showing compliance with TCXDVN 175:2005</t>
  </si>
  <si>
    <t>E-4 Option B</t>
  </si>
  <si>
    <t>Develop and implement a fit-out waste management plan</t>
  </si>
  <si>
    <r>
      <rPr>
        <b/>
        <sz val="10"/>
        <rFont val="Arial"/>
        <family val="2"/>
      </rPr>
      <t>Strategy A: Waste Diversion</t>
    </r>
    <r>
      <rPr>
        <sz val="10"/>
        <rFont val="Arial"/>
        <family val="2"/>
      </rPr>
      <t xml:space="preserve">
For 1 point, reuse, salvage and/or recycle 30% of fit-out waste
For 2 points, reuse, salvage and/or recycle 60% of fit-out waste</t>
    </r>
  </si>
  <si>
    <t>Compliant fit-out waste management plan?</t>
  </si>
  <si>
    <t>brick, concrete, metals, plastic, glass, ceramic tiles, ceiling panels, corrugated cardboard, drywall, etc.</t>
  </si>
  <si>
    <t>Calculation is based on the volume or the weight of fit-out waste (including demolition waste)</t>
  </si>
  <si>
    <t xml:space="preserve">• Evidence showing that a fit-out waste management plan will be implemented such as tender specifications, signed letter from the tenant, etc. </t>
  </si>
  <si>
    <t xml:space="preserve">• Evidence showing that strategies to reduce waste generation during fit-out will be implemented such as tender specifications, signed letter from the tenant, etc. </t>
  </si>
  <si>
    <t xml:space="preserve">• Evidence showing that the ductwork will be cleaned prior to occupancy such as tender specifications, signed cleaning contract, etc. </t>
  </si>
  <si>
    <t>• Evidence showing that Environmentally friendly products will be used for cleaning such as tender specifications, signed cleaning contract, etc.</t>
  </si>
  <si>
    <t>• Signed letter from the tenant committing to provide private buses for occupants</t>
  </si>
  <si>
    <t>• Signed letter from the tenant committing to implement and maintain the green transportation program</t>
  </si>
  <si>
    <t>If it had not been approved at Provisional Certification or if there is any change:
• Signed letter from the tenant committing to implement and maintain the green transportation program</t>
  </si>
  <si>
    <t>• Evidence showing the waste storage area during fit-out such as execution plans, photographs, etc.</t>
  </si>
  <si>
    <t>• Evidence showing all the waste generated and all the waste diverted from landfill such as removal contracts, sales/trade documents, receipts, etc.</t>
  </si>
  <si>
    <t>• Photographs showing the recycling storage area.</t>
  </si>
  <si>
    <t>• Signed letter from the tenant committing to prohibit smoking in the project space</t>
  </si>
  <si>
    <t>If it had not been approved at Provisional Certification or if there is any change:
• Signed letter from the tenant committing to prohibit smoking in the project space</t>
  </si>
  <si>
    <t>• As-built plan indicating the location of designated smoking areas</t>
  </si>
  <si>
    <t>• As-built mechanical drawings showing the ventilation system for the designated smoking areas</t>
  </si>
  <si>
    <t>• Window schedule indicating the number, location and size of all operable wall and roof openings</t>
  </si>
  <si>
    <t>• Elevations and plans marking all operable wall and roof openings</t>
  </si>
  <si>
    <t>• As-built plans and elevations marking all operable wall and roof openings</t>
  </si>
  <si>
    <t xml:space="preserve">• Schematic drawings of the HVAC system indicating location of all the equipment </t>
  </si>
  <si>
    <t xml:space="preserve">• Schematic drawings of the HVAC system indicating location of thermostats and diffusers </t>
  </si>
  <si>
    <t>• Schematic drawings of the HVAC system indicating location of the energy recovery systems</t>
  </si>
  <si>
    <t>• Schematic drawings of the HVAC system showing the radiant cooling system</t>
  </si>
  <si>
    <t xml:space="preserve">• Extract of an operation and maintenance manual indicating the procedures for operation, adjustment and maintenance of the demand control ventilation system </t>
  </si>
  <si>
    <t>• Evidence showing that an energy monitor has been installed such as photographs, invoice, etc.</t>
  </si>
  <si>
    <t>• Evidence showing that the energy monitor installed can analyze data at regular intervals and can provide the data to a visual display or to a PC such as photographs, technical data, etc.</t>
  </si>
  <si>
    <t xml:space="preserve">• Schematics of the communication interface between the software and the meters </t>
  </si>
  <si>
    <t>• Electrical drawings showing the location of all the plug points and plug load controls</t>
  </si>
  <si>
    <t>For mounted fans, submit all the documentation listed below:</t>
  </si>
  <si>
    <t>For radiant cooling system, submit all the documentation listed below:</t>
  </si>
  <si>
    <t>For energy recovery systems, submit all the documentation listed below:</t>
  </si>
  <si>
    <t>• As-built schematic drawings of the HVAC system showing the radiant cooling system</t>
  </si>
  <si>
    <t>• As-built schematic drawings of the HVAC system indicating location of the energy recovery systems</t>
  </si>
  <si>
    <t>If any sensors/controls have been installed for the demand control ventilation system:
• As-built schematic drawings of the HVAC system indicating all the demand sensors/controls</t>
  </si>
  <si>
    <t>• As-built schematic drawings of the HVAC system showing equipment ensuring better part-load efficiency</t>
  </si>
  <si>
    <t xml:space="preserve">• As-built schematic drawings of the HVAC system indicating location of thermostats and diffusers </t>
  </si>
  <si>
    <t xml:space="preserve">• As-built schematic drawings of the HVAC system indicating location of all the equipment </t>
  </si>
  <si>
    <t>For variable controls, submit all the documentation listed below:</t>
  </si>
  <si>
    <t>For demand control ventilation, submit all the documentation listed below:</t>
  </si>
  <si>
    <t>• As-built schematics of the communication interface between the software and the meters</t>
  </si>
  <si>
    <t>W-1 Water efficient fixtures Strategy B1</t>
  </si>
  <si>
    <t>• Plumbing drawings showing all the water fixtures to be installed</t>
  </si>
  <si>
    <t>• As-built plumbing drawings showing all the water fixtures installed</t>
  </si>
  <si>
    <t>• Manufacturer's published data showing the water usage (flow rates or flush volumes) of all the water fixtures installed</t>
  </si>
  <si>
    <t>• Evidence showing that the water efficient fixtures have been installed such as receipts, invoices, delivery notes, etc.</t>
  </si>
  <si>
    <r>
      <rPr>
        <b/>
        <sz val="10"/>
        <rFont val="Arial"/>
        <family val="2"/>
      </rPr>
      <t xml:space="preserve">Option A: No Refrigerants or Low-Impact Refrigerants </t>
    </r>
    <r>
      <rPr>
        <sz val="10"/>
        <rFont val="Arial"/>
        <family val="2"/>
      </rPr>
      <t xml:space="preserve">
Do not use refrigerants or use only low-impact refrigerants </t>
    </r>
  </si>
  <si>
    <t>• No systems using refrigerants are serving the interior project space</t>
  </si>
  <si>
    <t>• Manufacturer's published data showing that the systems are using low-impact refrigerants</t>
  </si>
  <si>
    <t>• Evidence showing that the systems using low-impact refrigerants have been installed such as  invoices, receipts, commissioning report, photographs, etc.</t>
  </si>
  <si>
    <t>• Mechanical drawings of the HVAC/R systems showing location and type of all the systems using refrigerants</t>
  </si>
  <si>
    <t xml:space="preserve">• Manufacturer’s published data of the systems installed indicating the type and volume of refrigerants used </t>
  </si>
  <si>
    <t>• As-built mechanical drawings of the HVAC/R systems showing location and type of all the systems using refrigerants</t>
  </si>
  <si>
    <t>If no systems using refrigerants are serving the interior project space, submit all the documentation listed below:</t>
  </si>
  <si>
    <t>If only low-impact refrigerants are used, submit all the documentation listed below:</t>
  </si>
  <si>
    <t>Already approved at PC</t>
  </si>
  <si>
    <t>• Evidence showing the HVAC/R systems installed such as invoices, receipts, commissioning report, photographs, etc.</t>
  </si>
  <si>
    <t>• Mechanical drawings showing location of the CO2 sensors</t>
  </si>
  <si>
    <t>H-3 Strategy B</t>
  </si>
  <si>
    <t xml:space="preserve">H-3 Strategy A </t>
  </si>
  <si>
    <t>Strategy C: Floorings</t>
  </si>
  <si>
    <t>Select flooring products with low-VOC content.</t>
  </si>
  <si>
    <t>Flooring products such as ceramic tiles, stone, rubber, self-leveling compounds, polished concrete, timber, etc. are exempted and do not need to justify a low VOC content.</t>
  </si>
  <si>
    <t>However, when finishing products are used on these types of flooring products, the finishing products have to be low VOC products.</t>
  </si>
  <si>
    <t>Select ceilings, partitions and insulation products with low-VOC content.</t>
  </si>
  <si>
    <t>Strategy E: Ceilings, partitions and insulation</t>
  </si>
  <si>
    <r>
      <rPr>
        <b/>
        <sz val="10"/>
        <rFont val="Arial"/>
        <family val="2"/>
      </rPr>
      <t>Strategy B: Adhesives and sealants</t>
    </r>
    <r>
      <rPr>
        <sz val="10"/>
        <rFont val="Arial"/>
        <family val="2"/>
      </rPr>
      <t xml:space="preserve">
Specify and install low-VOC emission adhesives and sealants</t>
    </r>
  </si>
  <si>
    <r>
      <rPr>
        <b/>
        <sz val="10"/>
        <rFont val="Arial"/>
        <family val="2"/>
      </rPr>
      <t>Strategy C: Floorings</t>
    </r>
    <r>
      <rPr>
        <sz val="10"/>
        <rFont val="Arial"/>
        <family val="2"/>
      </rPr>
      <t xml:space="preserve">
Specify and install low-VOC emission floorings</t>
    </r>
  </si>
  <si>
    <r>
      <rPr>
        <b/>
        <sz val="10"/>
        <rFont val="Arial"/>
        <family val="2"/>
      </rPr>
      <t>Strategy A: Paints and coatings</t>
    </r>
    <r>
      <rPr>
        <sz val="10"/>
        <rFont val="Arial"/>
        <family val="2"/>
      </rPr>
      <t xml:space="preserve">
Specify and install low-VOC emission paints and coatings </t>
    </r>
  </si>
  <si>
    <r>
      <rPr>
        <b/>
        <sz val="10"/>
        <rFont val="Arial"/>
        <family val="2"/>
      </rPr>
      <t>Strategy D: Composite wood products</t>
    </r>
    <r>
      <rPr>
        <sz val="10"/>
        <rFont val="Arial"/>
        <family val="2"/>
      </rPr>
      <t xml:space="preserve">
Specify and install low-formaldehyde emission composite wood products</t>
    </r>
  </si>
  <si>
    <r>
      <rPr>
        <b/>
        <sz val="10"/>
        <rFont val="Arial"/>
        <family val="2"/>
      </rPr>
      <t>Strategy E: Ceilings, partitions and insulation</t>
    </r>
    <r>
      <rPr>
        <sz val="10"/>
        <rFont val="Arial"/>
        <family val="2"/>
      </rPr>
      <t xml:space="preserve">
Specify and install low-VOC emission ceiling, partition and insulation products</t>
    </r>
  </si>
  <si>
    <t>Low-VOC emission product?</t>
  </si>
  <si>
    <t>All floorings compliant?</t>
  </si>
  <si>
    <t>• Evidence showing that the low-VOC products have been installed such as invoices, receipts, delivery notes, etc.</t>
  </si>
  <si>
    <t>• Evidence showing that the low-formaldehyde products have been installed such as invoices, receipts, delivery notes, etc.</t>
  </si>
  <si>
    <t>Implement adequate mitigation measures to reduce indoor air quality (IAQ) impacts arising from fit-out activities</t>
  </si>
  <si>
    <t>Complete the information below on the measures to reduce IAQ impacts during fit-out activities:</t>
  </si>
  <si>
    <t>• Evidence showing all the measures that have been implemented to provide safety and welfare for construction workers during fit-out such as records, photographs, etc.</t>
  </si>
  <si>
    <t>• Evidence showing that measures to provide safety and welfare for construction workers during fit-out activities will be implemented such as tender specifications, signed Health and Safety plan, etc.</t>
  </si>
  <si>
    <t>For Innovation 1, submit all the documentation listed below:</t>
  </si>
  <si>
    <t>For Innovation 2, submit all the documentation listed below:</t>
  </si>
  <si>
    <t>For Innovation 3, submit all the documentation listed below:</t>
  </si>
  <si>
    <t>For Innovation 4, submit all the documentation listed below:</t>
  </si>
  <si>
    <t>For Innovation 5, submit all the documentation listed below:</t>
  </si>
  <si>
    <t>For Innovation 6, submit all the documentation listed below:</t>
  </si>
  <si>
    <t xml:space="preserve">Implement innovative and environmentally friendly solutions that are not considered in the scope of LOTUS Interiors </t>
  </si>
  <si>
    <t xml:space="preserve">Points will only be awarded where adequate justification for the innovative nature and the environmental benefits of the solutions are provided. </t>
  </si>
  <si>
    <t>For this reason it is advisable to confirm the proposed innovation credit nature, with the Assessment Organization at any time prior to submissions.</t>
  </si>
  <si>
    <t>Proposed Innovative solution</t>
  </si>
  <si>
    <t>Innovative solution 1</t>
  </si>
  <si>
    <t>Innovative solution 2</t>
  </si>
  <si>
    <t>Innovative solution 3</t>
  </si>
  <si>
    <t>Innovative solution 4</t>
  </si>
  <si>
    <t>Innovative solution 5</t>
  </si>
  <si>
    <t>Innovative solution 6</t>
  </si>
  <si>
    <t>• Photographs showing the different types of quality views</t>
  </si>
  <si>
    <t>• As-built floor plans, sections and elevation</t>
  </si>
  <si>
    <t>If it had not been approved at Provisional Certification or if there is any change:
• As-built floor plans indicating the occupied spaces and the areas with quality views</t>
  </si>
  <si>
    <t>• Evidence indicating the location and number of fans to be installed such as schematic drawings, design document, tender specifications, etc.</t>
  </si>
  <si>
    <t>• Evidence indicating the future installation of energy efficient appliances such as tender specifications, schedule of appliances, etc.</t>
  </si>
  <si>
    <t>• Evidence indicating the future installation of plug load controls such as tender specifications, design document, etc.</t>
  </si>
  <si>
    <t>• Evidence showing that the proposed types of systems will be using low-impact refrigerants  such as tender specifications, mechanical drawings of the HVAC systems, manufacturer's published data, etc.</t>
  </si>
  <si>
    <t>• Evidence showing the proposed HVAC/R systems with the type and volume of refrigerants used such as tender specification, schedule, manufacturer´s published data, etc.</t>
  </si>
  <si>
    <t>• Mechanical drawings showing fresh air supply rates of AHUs and fans</t>
  </si>
  <si>
    <t>• For each low-VOC product, evidence showing that the products installed are low-VOC products such as manufacturer’s published data, certificate, test reports, etc.</t>
  </si>
  <si>
    <t>• For each low-formaldehyde product, evidence showing that the products installed are low-formaldehyde products such as manufacturer’s published data, certificate, test reports, etc</t>
  </si>
  <si>
    <t>• For each low-VOC product, document evidence that the products installed are low-VOC products such as manufacturer’s published data, certificate, test reports, etc.</t>
  </si>
  <si>
    <t>Plane considered</t>
  </si>
  <si>
    <t>The project should meet recommendations on illuminance uniformity from a recognized standard or from the SLL Handbook 2009 (CIBSE).</t>
  </si>
  <si>
    <t>A lighting design software should be used to calculate the illuminance uniformity.</t>
  </si>
  <si>
    <t>• Evidence showing the lumen output of the lighting fixtures that will be installed such as tender specifications, lighting schedule, design document, etc.</t>
  </si>
  <si>
    <t>• Report indicating the inputs and outputs of the simulation realized to calculate expected values of illuminance uniformity</t>
  </si>
  <si>
    <t>• Evidence showing the color rendering index (CRI) of the lighting fixtures that will be installed such as tender specifications, lighting schedule, design document, etc.</t>
  </si>
  <si>
    <t>Unified Glare Rating approach</t>
  </si>
  <si>
    <r>
      <rPr>
        <b/>
        <u/>
        <sz val="10"/>
        <rFont val="Arial"/>
        <family val="2"/>
      </rPr>
      <t>Criteria</t>
    </r>
    <r>
      <rPr>
        <b/>
        <sz val="10"/>
        <rFont val="Arial"/>
        <family val="2"/>
      </rPr>
      <t>: Give occupants the ability to control the lighting level in their immediate environment by:
• Providing individual lighting controls for at least 90% of occupants in individual occupant spaces
• Providing a lighting control system in all shared multi-occupant spaces</t>
    </r>
  </si>
  <si>
    <t>Only spaces where an occupant is expected to work or remain for an extended period of time should be considered in this credit.</t>
  </si>
  <si>
    <t>• Mechanical drawings showing all the HVAC systems that will serve the interior project space</t>
  </si>
  <si>
    <t xml:space="preserve">If method 2 is followed:
• Calculations showing compliance with the strategies pursued to limit heat gains and to enhance air velocity. </t>
  </si>
  <si>
    <t>• Evidence showing all the thermal controls that will be installed such as tender specifications, mechanical drawings, schedule of all thermal controls, design document, etc.</t>
  </si>
  <si>
    <t>• Electrical lighting drawings showing all the lighting fixtures that will be installed in the project interior space</t>
  </si>
  <si>
    <t>Conduct a post-occupancy comfort survey of building occupants within 3 to 6 months after occupancy
- AND - 
If occupants’ average overall satisfaction score from the post-occupancy survey is less than 3 out of 5, develop a corrective action plan based on the responses</t>
  </si>
  <si>
    <t>• As-built electrical lighting drawings showing all the lighting fixtures installed in the project interior space</t>
  </si>
  <si>
    <t>• Manufacturer’s published data of all the lighting fixtures installed in the project interior space</t>
  </si>
  <si>
    <t>• Electrical lighting drawings showing the location of all the lighting sensors and controls for separate spaces to be installed</t>
  </si>
  <si>
    <t>• As-built electrical lighting drawings showing the location of all the lighting sensors and controls for separate spaces installed</t>
  </si>
  <si>
    <t xml:space="preserve">• Electrical lighting drawings showing the location of all sensors and controls for daylit areas to be installed </t>
  </si>
  <si>
    <r>
      <rPr>
        <b/>
        <sz val="10"/>
        <rFont val="Arial"/>
        <family val="2"/>
      </rPr>
      <t xml:space="preserve">Strategy B: Lighting controls for separate spaces
</t>
    </r>
    <r>
      <rPr>
        <sz val="10"/>
        <rFont val="Arial"/>
        <family val="2"/>
      </rPr>
      <t>Project meet VBEEC requirements on Lighting controls for separate spaces</t>
    </r>
  </si>
  <si>
    <r>
      <rPr>
        <b/>
        <sz val="10"/>
        <rFont val="Arial"/>
        <family val="2"/>
      </rPr>
      <t>Strategy C: Lighting controls for daylit areas</t>
    </r>
    <r>
      <rPr>
        <sz val="10"/>
        <rFont val="Arial"/>
        <family val="2"/>
      </rPr>
      <t xml:space="preserve">
Install lighting control devices for the lighting fixtures located in potentially daylit areas </t>
    </r>
  </si>
  <si>
    <t>Strategy B:  Lighting controls for separate spaces</t>
  </si>
  <si>
    <t>Follow requirements of QCVN 09:2013/BXD Section 2.3.3 Lighting controls 1) Lighting controls for separate spaces</t>
  </si>
  <si>
    <t>Strategy D: Other lighting controls</t>
  </si>
  <si>
    <r>
      <rPr>
        <b/>
        <sz val="10"/>
        <rFont val="Arial"/>
        <family val="2"/>
      </rPr>
      <t xml:space="preserve">Strategy D: Other lighting controls
</t>
    </r>
    <r>
      <rPr>
        <sz val="10"/>
        <rFont val="Arial"/>
        <family val="2"/>
      </rPr>
      <t>Implement the following strategies:
- task lighting
- main switch or scheduling</t>
    </r>
  </si>
  <si>
    <t>• As-built electrical lighting drawings showing the location of all the lighting sensors and controls for daylit areas installed</t>
  </si>
  <si>
    <t>If any occupancy or vacancy sensor has been installed:
• Evidence showing that the sensors have been installed such as invoices, receipts, delivery notes, commissioning records, photographs, etc.</t>
  </si>
  <si>
    <t>If any photosensor has been installed:
• Evidence showing that the photosensors have been installed such as invoices, receipts, delivery notes, commissioning records, photographs, etc.</t>
  </si>
  <si>
    <t xml:space="preserve">• Electrical lighting drawings showing the location of task lights and master main switch or timer control to be installed </t>
  </si>
  <si>
    <t>• Electrical lighting drawings showing all the lighting fixtures to be installed in the interior space</t>
  </si>
  <si>
    <t xml:space="preserve">• Lighting schedule showing all the lighting fixtures to be installed in the interior space </t>
  </si>
  <si>
    <t xml:space="preserve">• As-built lighting schedule showing all the lighting fixtures installed in the interior space </t>
  </si>
  <si>
    <t>• As-built electrical lighting drawings showing the location of task lights and master main switch or timer control installed</t>
  </si>
  <si>
    <t>• Evidence of the task lights and master main switch or timer control that have been installed such as invoices, delivery notes, photographs, etc.</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</si>
  <si>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need for HVAC systems and increase natural air flow and to encourage the installation of energy efficient HVAC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29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5 strategies are available for this credit and they can all be followed at the same time with a </t>
    </r>
    <r>
      <rPr>
        <b/>
        <sz val="11"/>
        <color rgb="FF58AB27"/>
        <rFont val="Arial"/>
        <family val="2"/>
      </rPr>
      <t>maximum of 6 points available</t>
    </r>
    <r>
      <rPr>
        <b/>
        <sz val="11"/>
        <color theme="1" tint="0.249977111117893"/>
        <rFont val="Arial"/>
        <family val="2"/>
      </rPr>
      <t xml:space="preserve">. 
Read all the instructions and complete the information in the light red-coloured cells. </t>
    </r>
    <r>
      <rPr>
        <b/>
        <sz val="11"/>
        <color rgb="FF58AB27"/>
        <rFont val="Calibri"/>
        <family val="2"/>
      </rPr>
      <t/>
    </r>
  </si>
  <si>
    <r>
      <rPr>
        <b/>
        <sz val="10"/>
        <rFont val="Arial"/>
        <family val="2"/>
      </rPr>
      <t>Option B: Energy monitor</t>
    </r>
    <r>
      <rPr>
        <sz val="10"/>
        <rFont val="Arial"/>
        <family val="2"/>
      </rPr>
      <t xml:space="preserve">
Install an energy monitor to record electricity consumption</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</si>
  <si>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continuous monitoring of the energy consuming systems of the project space.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46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t>
    </r>
    <r>
      <rPr>
        <b/>
        <sz val="11"/>
        <color rgb="FFFF0000"/>
        <rFont val="Arial"/>
        <family val="2"/>
      </rPr>
      <t>OR</t>
    </r>
    <r>
      <rPr>
        <b/>
        <sz val="11"/>
        <color theme="1" tint="0.249977111117893"/>
        <rFont val="Arial"/>
        <family val="2"/>
      </rPr>
      <t xml:space="preserve"> Option B </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</si>
  <si>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Option A: Sub metering and Power monitoring system</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</si>
  <si>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use of plastic water bottles and the environmental impact associated to their production and transportation.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59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</si>
  <si>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consumption of water in buildings by means of water efficient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50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Select if some water closets and/or bathroom taps are installed by the project within the tenant spaces and </t>
    </r>
    <r>
      <rPr>
        <b/>
        <sz val="11"/>
        <color rgb="FF0070C0"/>
        <rFont val="Arial"/>
        <family val="2"/>
      </rPr>
      <t>make sure to achieve Prerequisite requirements</t>
    </r>
    <r>
      <rPr>
        <b/>
        <sz val="11"/>
        <color rgb="FFFF0000"/>
        <rFont val="Arial"/>
        <family val="2"/>
      </rPr>
      <t xml:space="preserve"> </t>
    </r>
    <r>
      <rPr>
        <b/>
        <sz val="11"/>
        <color theme="1" tint="0.249977111117893"/>
        <rFont val="Arial"/>
        <family val="2"/>
      </rPr>
      <t xml:space="preserve">if applicable. 
Then, follow either Option A </t>
    </r>
    <r>
      <rPr>
        <b/>
        <sz val="11"/>
        <color rgb="FFFF0000"/>
        <rFont val="Arial"/>
        <family val="2"/>
      </rPr>
      <t>OR</t>
    </r>
    <r>
      <rPr>
        <b/>
        <sz val="11"/>
        <color theme="1" tint="0.249977111117893"/>
        <rFont val="Arial"/>
        <family val="2"/>
      </rPr>
      <t xml:space="preserve"> Option B. In each option, different strategies are available and they can all be followed at the same time with </t>
    </r>
    <r>
      <rPr>
        <b/>
        <sz val="11"/>
        <color rgb="FF0070C0"/>
        <rFont val="Arial"/>
        <family val="2"/>
      </rPr>
      <t>a maximum of 5 points available</t>
    </r>
    <r>
      <rPr>
        <b/>
        <sz val="11"/>
        <color theme="1" tint="0.249977111117893"/>
        <rFont val="Arial"/>
        <family val="2"/>
      </rPr>
      <t>. 
Read all the instructions and complete the information in the light red-coloured cells.</t>
    </r>
  </si>
  <si>
    <t>• Evidence showing the water usage (flow rates or flush volumes) of all the water fixtures to be installed such as tender specifications, design document, schedule of water fixtures, manufacturer's published data, etc.</t>
  </si>
  <si>
    <t>Water fixtures installed in the base building and associated with the interior project should be water efficient or, as highlighted in Strategy B2, water fixtures should be replaced/altered to reduce their water usage.</t>
  </si>
  <si>
    <t>• Evidence showing the water usage (flow rates or flush volumes) of all the water fixtures already installed (or to be replaced or altered) in the base building and associated with the interior project such as manufacturer's published data, audit report,tender specifications, design document, etc.</t>
  </si>
  <si>
    <t>If it had not been approved at Provisional Certification or if there is any change:
• Evidence showing the water usage (flow rates or flush volumes) of all the water fixtures installed  in the base building and associated with the interior project such as manufacturer's published data, audit report, etc.</t>
  </si>
  <si>
    <t>• Evidence showing the water usage (flow rates or flush volumes) of all the existing water fixtures installed in the base building and associated with the interior project such as manufacturer's data, audit report, photographs, etc.</t>
  </si>
  <si>
    <t>• Evidence showing the water usage (flow rates or flush volumes) of all the water fixtures to be installed to replace or alter the existing fixtures such as tender specifications, design document, schedule of water fixtures, manufacturer's published data, etc.</t>
  </si>
  <si>
    <t>• Evidence showing the water usage of all the water appliances to be installed such as tender specifications, design document, schedule of water appliances, manufacturer's published data, etc.</t>
  </si>
  <si>
    <t>• Manufacturer's published data showing the water usage (flow rates or flush volumes) of all the water fixtures installed to replace or alter the existing fixtures</t>
  </si>
  <si>
    <t>If it had not been approved at Provisional Certification or if there is any change:
• Evidence showing the water usage (flow rates or flush volumes) of all the existing water fixtures installed in the base building and associated with the interior project such as manufacturer's data, audit report, photographs, etc.</t>
  </si>
  <si>
    <t>• Manufacturer’s published data of all water appliances installed indicating the water usage of the appliances installed</t>
  </si>
  <si>
    <t>• Evidence showing that the water efficient fixtures to replace or alter the existing fixtures have been installed such as receipts, invoices, delivery notes, etc.</t>
  </si>
  <si>
    <t>• Evidence showing that the water efficient appliances have been installed such as receipts, invoices, delivery notes, etc.</t>
  </si>
  <si>
    <t>• For each sustainable material, evidence showing that the material is sustainable such as manufacturer’s data, certificate, test report, signed and stamped letter from manufacturer, tender specification extracts, etc.</t>
  </si>
  <si>
    <t>If it had not been approved at Provisional Certification or if there is any change:
• For each sustainable material, evidence showing that the material is sustainable such as manufacturer’s data, certificate, test report, signed and stamped letter from manufacturer, tender specification extracts, etc.</t>
  </si>
  <si>
    <t>• For each sustainable furniture product, evidence showing that the furniture product is sustainable such as manufacturer’s data, certificate, test report, signed and stamped letter from manufacturer, tender specification extracts, etc.</t>
  </si>
  <si>
    <t>• Evidence showing the future installation of a drinking water filtration system such as tender specifications, signed supply and installation contract, design document, etc.</t>
  </si>
  <si>
    <t xml:space="preserve">• Manufacturer's published data showing the types of filters contained in the water filtration system </t>
  </si>
  <si>
    <r>
      <rPr>
        <b/>
        <sz val="10"/>
        <rFont val="Arial"/>
        <family val="2"/>
      </rPr>
      <t>Option C: Strategies to limit the atmospheric impact from refrigerants
(only applicable for projects with commercial refrigeration systems)</t>
    </r>
    <r>
      <rPr>
        <sz val="10"/>
        <rFont val="Arial"/>
        <family val="2"/>
      </rPr>
      <t xml:space="preserve">
1 point granted for implementing 2 of the following strategies for air-conditioning, heat pump and commercial refrigeration systems:
1. No centralized direct expansion systems is used
2. All refrigerants used have a GWP100 below 2000 and ODP ≤ 0.02
3. 50% (by mass) of the total refrigerant charge of commercial refrigeration equipment are natural refrigerants or HFOs
4. An indirect (secondary) commercial refrigeration system is installed</t>
    </r>
  </si>
  <si>
    <t>• Has a LOTUS AP been involved in the project team?</t>
  </si>
  <si>
    <t>• Evidence showing all the mitigation measures that have been implemented to reduce IAQ impacts during fit-out such as records, photographs, etc.</t>
  </si>
  <si>
    <t>• Evidence showing that measures to reduce IAQ impacts arising from fit-out activities will be implemented such as tender specifications, IAQ management plan, etc.</t>
  </si>
  <si>
    <t>• Evidence showing that measures to limit construction noise will be implemented such as tender specifications, Construction Noise Mitigation plan, etc.</t>
  </si>
  <si>
    <t>• Evidence showing all the measures that have been implemented to limit noise during fit-out such as records, photographs, etc.</t>
  </si>
  <si>
    <t>• Evidence showing that the project will perform commissioning according to LOTUS requirements such as tender specifications, signed letter from the tenant, commissioning plan, etc.</t>
  </si>
  <si>
    <t>• Copy of the resume of the commissioning agent .</t>
  </si>
  <si>
    <r>
      <rPr>
        <b/>
        <sz val="10"/>
        <rFont val="Arial"/>
        <family val="2"/>
      </rPr>
      <t>Strategy A: Commissioning</t>
    </r>
    <r>
      <rPr>
        <sz val="10"/>
        <rFont val="Arial"/>
        <family val="2"/>
      </rPr>
      <t xml:space="preserve">
For 1 point, perform commissioning of the systems installed by the project
For 2 points, hire a qualified and independent commissioning agent to supervise the commissioning activities</t>
    </r>
  </si>
  <si>
    <r>
      <rPr>
        <b/>
        <sz val="10"/>
        <rFont val="Arial"/>
        <family val="2"/>
      </rPr>
      <t xml:space="preserve">Strategy B: On-going Commissioning </t>
    </r>
    <r>
      <rPr>
        <sz val="10"/>
        <rFont val="Arial"/>
        <family val="2"/>
      </rPr>
      <t xml:space="preserve">
Prepare an on-going commissioning plan including post-occupancy analysis</t>
    </r>
  </si>
  <si>
    <t>For comissioning agent, submit all the documentation listed below:</t>
  </si>
  <si>
    <t>Strategy B: On-going Commissioning</t>
  </si>
  <si>
    <t xml:space="preserve">Strategy A: Commissioning </t>
  </si>
  <si>
    <t>Complete commissioning activities for all the systems included in the scope of the project.</t>
  </si>
  <si>
    <t>• Verify that installation meets design criteria and manufacturer’s requirements</t>
  </si>
  <si>
    <t>• Evidence showing that the project will hire a commissioning agent according to LOTUS requirements such as tender specifications, signed letter from the tenant, commissioning plan, etc.</t>
  </si>
  <si>
    <t xml:space="preserve">• Copy of the on-going commissioning plan </t>
  </si>
  <si>
    <t>• Copy of the Preventative Maintenance Plan</t>
  </si>
  <si>
    <t>• Evidence showing the Operation and Maintenance manual which can be either:
- photographs or scans showing front cover, table of contents, and at least 3 key sheets of the building operation and maintenance manual, 
- or, if available, full electronic version of the manual</t>
  </si>
  <si>
    <t>• Signed letter from the tenant committing to maintain the green awareness campaign.</t>
  </si>
  <si>
    <t>• Signed letter from the tenant committing to implement the Preventative Maintenance Plan during the operations of the project space</t>
  </si>
  <si>
    <t>• Signed letter from the tenant committing to implement the on-going commissioning plan during the operations of the project space</t>
  </si>
  <si>
    <t>• Evidence showing that the innovative technique/initiative has been installed/implemented such as receipts, delivery notes, photographs, etc.</t>
  </si>
  <si>
    <t xml:space="preserve">• Evidence showing the expected performance of the innovative technique/initiative such as manufacturer’s data, calculations, report, etc. </t>
  </si>
  <si>
    <t xml:space="preserve">If it had not been approved at Provisional Certification or if there is any change:
• Evidence showing the performance of the innovative technique/initiative such as manufacturer’s data, calculations, report, etc. </t>
  </si>
  <si>
    <t>For the facilities and amenities located in the project space, submit all the documentation listed below:</t>
  </si>
  <si>
    <t>For the facilities and amenities located in the base building, submit all the documentation listed below:</t>
  </si>
  <si>
    <t>• Maps indicating location of public transport stops within a 500 m or a 700 m walking distance of the site</t>
  </si>
  <si>
    <t>If it had not been approved at Provisional Certification or if there is any change:
• Maps indicating location of public transport stops within a 500 m or a 700 m walking distance of the site.</t>
  </si>
  <si>
    <t>• Plans and maps indicating location of private buses stops on the site and proposed routes of the private collective transport systems</t>
  </si>
  <si>
    <t>If it had not been approved at Provisional Certification or if there is any change:
• Plans and maps indicating location of private buses stops on the site and proposed routes of private collective transport systems</t>
  </si>
  <si>
    <t>• Copy of the certificate showing that the base building is certified under a recognized green building certification system</t>
  </si>
  <si>
    <t>If it had not been approved at Provisional Certification or if there is any change:
• Copy of the certificate showing that the base building is certified under a recognized green building certification system</t>
  </si>
  <si>
    <t>If it had not been approved at Provisional Certification or if there is any change:
• Evidence showing that the base building complies with the requirements such as plans, photographs, letter of confirmation from base building owner, etc.</t>
  </si>
  <si>
    <t>• Evidence showing that the base building complies with the requirements such as plans, photographs, letter of confirmation from base building owner, etc.</t>
  </si>
  <si>
    <t>• Signed letter from the tenant committing that no systems using refrigerants are serving the interior project space.</t>
  </si>
  <si>
    <t>• Mechanical drawings of the HVAC systems showing location and type of all the systems using refrigerants</t>
  </si>
  <si>
    <t>• Evidence showing the HVAC/R systems to be installed with the type and volume of refrigerants used such as tender specifications, schedule, manufacturer´s published data, etc.</t>
  </si>
  <si>
    <t>• As-built mechanical drawings of the HVAC systems showing location and type of all the systems using refrigerants</t>
  </si>
  <si>
    <t>• Evidence showing the HVAC systems installed such as invoices, receipts, commissioning report, photographs, etc.</t>
  </si>
  <si>
    <t>No evidence required for this strategy (evidence should be already provided for the prerequisite).</t>
  </si>
  <si>
    <t>• Evidence showing that the strategies to reduce the waste generation have been implemented such as drawings, receipts, report, photographs, etc.</t>
  </si>
  <si>
    <t>• Plans indicating the location and size of the dedicated recycling storage area</t>
  </si>
  <si>
    <t xml:space="preserve">• Copy of the environmentally friendly solid waste management system manual </t>
  </si>
  <si>
    <t>• Signed letter from the tenant committing to implement and maintain the environmentally friendly solid waste management system</t>
  </si>
  <si>
    <t>• As-built plans indicating the location and size of dedicated recycling storage area</t>
  </si>
  <si>
    <t xml:space="preserve">• Plans indicating the location of designated smoking areas </t>
  </si>
  <si>
    <t xml:space="preserve">• Mechanical drawings showing the ventilation system for the designated smoking areas inside the building </t>
  </si>
  <si>
    <t>• Evidence showing technique that will be applied for the CO2 monitoring system such as tender specifications, design document, etc.</t>
  </si>
  <si>
    <t>• Extract of an operation and maintenance manual indicating the procedures for operation, adjustment and maintenance of the CO2 monitoring system</t>
  </si>
  <si>
    <t>• Electrical drawings showing location, type and number of energy meters and showing the usage served by those meters</t>
  </si>
  <si>
    <t>• Evidence indicating the future installation of an energy monitor such as drawings, tender specifications, design document, signed letter, etc.</t>
  </si>
  <si>
    <t>• As-built electrical drawings showing location, type and number of energy meters and showing the usage served by those meters</t>
  </si>
  <si>
    <t>• Evidence of the meters installed such as invoices, receipts, photographs, etc.</t>
  </si>
  <si>
    <t>• Evidence showing that the aforementioned appliances are energy efficient such as manufacturer’s published data, energy efficiency certificate, etc.</t>
  </si>
  <si>
    <t>• Evidence showing that the energy efficient appliances have been installed such as invoices, receipts, delivery notes, photographs, etc.</t>
  </si>
  <si>
    <t>• Manufacturer's published data of the plug load controls</t>
  </si>
  <si>
    <t xml:space="preserve">• As-built electrical drawings showing the location of all the plug points and plug load controls </t>
  </si>
  <si>
    <t>• Evidence showing that the plug load controls have been installed such as invoices, receipts, delivery notes, photographs, etc.</t>
  </si>
  <si>
    <t>• Schedule of all the HVAC equipment indicating COP values - OR - Tender specifications of the HVAC equipment indicating minimum specified COP values</t>
  </si>
  <si>
    <t>• Schematic drawings of the HVAC system showing location of variable controls</t>
  </si>
  <si>
    <t>• Evidence showing that variable controls will be installed such as schedule of all the HVAC equipment, tender specifications, design document, etc.</t>
  </si>
  <si>
    <t>• Evidence indicating how demand control ventilation will work and indicating the sensors/controls to be installed (if any) such as design document, tender specifications, etc.</t>
  </si>
  <si>
    <t>• Final schedule of all the HVAC equipment installed indicating variable controls installed</t>
  </si>
  <si>
    <t xml:space="preserve">• Manufacturer's data of the variable control systems </t>
  </si>
  <si>
    <t>• Evidence showing that the paints and coatings that will be installed are low-VOC products such as tender specifications, manufacturer’s published data, certificate, test reports, etc</t>
  </si>
  <si>
    <t xml:space="preserve">• Evidence showing that the composite wood products that will be installed to be installed are low-formaldehyde products such as tender specifications, manufacturer’s published data, certificate, test reports, etc. </t>
  </si>
  <si>
    <t>• Evidence showing that the adhesives and sealants that will be installed are low-VOC products such as tender specifications, manufacturer’s published data, certificate, test reports, etc</t>
  </si>
  <si>
    <t>• Evidence showing that the flooing products that will be installed are low-VOC products such as tender specifications, manufacturer’s published data, certificate, test reports, etc</t>
  </si>
  <si>
    <t>• Evidence showing that the ceilings, partitions and insulation products that will be installed are low-VOC products such as tender specifications, manufacturer’s published data, certificate, test reports, etc</t>
  </si>
  <si>
    <t>• Evidence showing that a flush-out procedure will be implemented before occupancy such as tender specifications, design document, etc.</t>
  </si>
  <si>
    <t>• Evidence showing the number and the species of plants that will be installed such as tender layout plans, schedule of plants, letter from the tenant, etc.</t>
  </si>
  <si>
    <t>• Evidence showing the number and species of plants that have been installed such as receipts, invoices, etc.</t>
  </si>
  <si>
    <t>If it had not been approved at Provisional Certification or if there is any change:
• Evidence showing that Environmentally friendly products will be used for cleaning during the operations of the project such as letter from the tenant, cleaning contract, etc.</t>
  </si>
  <si>
    <t>Enter the calculated or measured values of reverberation time in the table below:</t>
  </si>
  <si>
    <t xml:space="preserve">Also, reverberation time can be calculated theoretically using a modelling software that includes an acoustic component or using a calculator, such as :
</t>
  </si>
  <si>
    <t>http://www.sengpielaudio.com/calculator-RT60.htm</t>
  </si>
  <si>
    <t>If calculations of reverberation time have been performed:
• Evidence showing that the materials used in the calculations have been installed such as as-built plans, receipts, invoices, etc</t>
  </si>
  <si>
    <t>• Results of the calculations or measurements of reverberation time</t>
  </si>
  <si>
    <t>• As-built floor plans and elevations</t>
  </si>
  <si>
    <t>If it had not been approved at Provisional Certification or if there is any change:
• Floor plans and elevations indicating the occupied spaces and all glazed areas</t>
  </si>
  <si>
    <t>If it had not been approved at Provisional Certification or if there is any change:
• Floor plans indicating the occupied spaces and the areas with direct line of sight to outdoors</t>
  </si>
  <si>
    <t>If it had not been approved at Provisional Certification or if there is any change:
• Sections and elevations showing the height and location of external views and the height of solid internal partitions (if any)</t>
  </si>
  <si>
    <t>Thermal and acoustic insulation should be considered in this strategy but not HVAC ductwork insulation.</t>
  </si>
  <si>
    <t>Complete the table below with information on all the ceiling, partition and insulation products installed by the project:</t>
  </si>
  <si>
    <t>• Thermal Comfort measurements showing compliance with requirements</t>
  </si>
  <si>
    <t>• As-built mechanical drawings indicating the location of thermal controls</t>
  </si>
  <si>
    <t>• Evidence showing that the thermal controls have been installed such as invoices, receipts, delivery notes, photographs, etc.</t>
  </si>
  <si>
    <t xml:space="preserve">If method 1 is followed:
• Report showing calculation of the maximum indoor operative temperature during design day and demonstrating compliance with Section 5.3 of ASHRAE 55-2004. </t>
  </si>
  <si>
    <t>Strategy not available at Provisional Certification stage</t>
  </si>
  <si>
    <t>For all the air-conditioned and mixed-mode ventilated spaces, submit all the documentation listed below:</t>
  </si>
  <si>
    <t>For all the non-air-conditioned spaces, submit all the documentation listed below:</t>
  </si>
  <si>
    <t xml:space="preserve">If method 2 is followed and if it had not been approved at Provisional Certification or if there is any change:
• Final calculations showing compliance with the strategies pursued to limit heat gains and to enhance air velocity. </t>
  </si>
  <si>
    <t>If method 1 is followed and if it had not been approved at Provisional Certification or if there is any change:
• Final report showing calculation of the maximum indoor operative temperature during design day and demonstrating compliance with Section 5.3 of ASHRAE 55-2004.</t>
  </si>
  <si>
    <t>Types of Ventilation for occupied spaces</t>
  </si>
  <si>
    <t>• Report of a building energy simulation showing inputs/outputs of the simulation, the temperature and humidity setpoints used and the number of unmet load hours.</t>
  </si>
  <si>
    <t>If it had not been approved at Provisional Certification or if there is any change:
• Final report of a building energy simulation showing inputs/outputs of the simulation, the temperature and humidity setpoints used and the number of unmet load hours.</t>
  </si>
  <si>
    <t>• As-built mechanical drawings showing all the HVAC systems serving the interior project space</t>
  </si>
  <si>
    <t>• Evidence showing the lighting level control strategies that will be provided to occupants and indicating how they will work such as tender specifications, design document, etc.</t>
  </si>
  <si>
    <t>• Electrical lighting drawings showing all the lighting level controls and/or task lights that will be installed in the project interior space</t>
  </si>
  <si>
    <t>• Evidence showing that the lighting level controls/systems have been installed such as invoices, receipts, delivery notes, photographs, etc.</t>
  </si>
  <si>
    <t>• As-built electrical lighting drawings showing all the lighting level controls and/or task lights installed in the project interior space</t>
  </si>
  <si>
    <t>• Manufacturer's published data showing the lumen output of the lighting fixtures that have been installed</t>
  </si>
  <si>
    <t>• As-built electrical lighting drawings showing all the lighting fixtures that have been installed in the project interior space</t>
  </si>
  <si>
    <t>• Evidence showing that the lighting fixtures have been installed such as invoices, receipts, delivery notes, photographs, etc.</t>
  </si>
  <si>
    <t>If it had not been approved at Provisional Certification or if there is any change:
• Final report indicating the inputs and outputs of the simulation realized to calculate expected values of illuminance uniformity</t>
  </si>
  <si>
    <t xml:space="preserve">LOTUS Provisional Certification is an optional stage awarded after the completion of the design stage of a project. It certifies that the necessary requirements and strategies are in place for the project to be constructed “green”.  </t>
  </si>
  <si>
    <t xml:space="preserve">The LOTUS Provisional Certification process happens in 2 rounds of submissions and assessment as described below.
</t>
  </si>
  <si>
    <t xml:space="preserve">LOTUS Full Certification assesses the performance of the as-built interior space. LOTUS Full Certification can be applied for as soon as handover is completed and must be completed before 1 year of the completion of the fit-out. It demonstrates that all green building strategies and attributes defined at the design stage are incorporated and achieved at the fit-out stage. At this stage, points can be lost or gained. Where the construction or installation differs from that which is specified within the LOTUS Provisional Certification, projects must justify how these changes provide an equal or greater environmental benefit for the points to be awarded. </t>
  </si>
  <si>
    <t xml:space="preserve">Within each of the 8 category folders, include the supporting evidence for the credits of the category that are pursued. </t>
  </si>
  <si>
    <t>• Evidence that the measurements and corrective actions have been undertaken</t>
  </si>
  <si>
    <t>• Results of the post-occupancy comfort survey.</t>
  </si>
  <si>
    <t>All ceilings, partitions and insulation compliant ?</t>
  </si>
  <si>
    <t>Type of flooring product</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</si>
  <si>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energy consumption associated with the use of interior artificial lighting systems by selecting efficient lighting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37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AB27"/>
        <rFont val="Arial"/>
        <family val="2"/>
      </rPr>
      <t>4 strategies</t>
    </r>
    <r>
      <rPr>
        <b/>
        <sz val="11"/>
        <color theme="1" tint="0.249977111117893"/>
        <rFont val="Arial"/>
        <family val="2"/>
      </rPr>
      <t xml:space="preserve"> are available for this credit and they can all be followed at the same time with </t>
    </r>
    <r>
      <rPr>
        <b/>
        <sz val="11"/>
        <color rgb="FF58AB27"/>
        <rFont val="Arial"/>
        <family val="2"/>
      </rPr>
      <t>a maximum of 6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</si>
  <si>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equipment and appliances.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43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AB27"/>
        <rFont val="Arial"/>
        <family val="2"/>
      </rPr>
      <t>2 strategies</t>
    </r>
    <r>
      <rPr>
        <b/>
        <sz val="11"/>
        <color theme="1" tint="0.249977111117893"/>
        <rFont val="Arial"/>
        <family val="2"/>
      </rPr>
      <t xml:space="preserve"> are available for this credit and both can be followed at the same time with a </t>
    </r>
    <r>
      <rPr>
        <b/>
        <sz val="11"/>
        <color rgb="FF58AB27"/>
        <rFont val="Arial"/>
        <family val="2"/>
      </rPr>
      <t>maximum of 4 points available</t>
    </r>
    <r>
      <rPr>
        <b/>
        <sz val="11"/>
        <color theme="1" tint="0.249977111117893"/>
        <rFont val="Arial"/>
        <family val="2"/>
      </rPr>
      <t>. 
Read all the instructions and complete the information in the light red-coloured cells.</t>
    </r>
  </si>
  <si>
    <t>Strategy C: Lighting controls for daylit areas</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</si>
  <si>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sustainable materials.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</si>
  <si>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sustainable furniture products.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65 of the LOTUS Interiors V1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</si>
  <si>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t>The following materials are considered as sustainable materials under LOTUS Interiors (c.f. Glossary):</t>
  </si>
  <si>
    <t>The following furniture products are considered as sustainable furniture products under LOTUS Interiors (c.f. Glossary):</t>
  </si>
  <si>
    <t>DP Sustainable Design</t>
  </si>
  <si>
    <t>Europe Deco Concrete Co., Ltd.</t>
  </si>
  <si>
    <t>GROUP GSA</t>
  </si>
  <si>
    <t>InterfaceFLOR</t>
  </si>
  <si>
    <t>Pinctadali Vietnam</t>
  </si>
  <si>
    <t>Sài Gòn Xanh</t>
  </si>
  <si>
    <t>Solar Electric Vietnam JSC</t>
  </si>
  <si>
    <t xml:space="preserve">Vietnam Investment Consulting and Construction Designing JSC </t>
  </si>
  <si>
    <r>
      <t xml:space="preserve">• </t>
    </r>
    <r>
      <rPr>
        <b/>
        <sz val="10"/>
        <color rgb="FF943634"/>
        <rFont val="Arial"/>
        <family val="2"/>
      </rPr>
      <t>illuminance</t>
    </r>
    <r>
      <rPr>
        <sz val="10"/>
        <rFont val="Arial"/>
        <family val="2"/>
      </rPr>
      <t xml:space="preserve">. It is the total luminous flux incident on a surface, per unit area. It is a measure (in lux) of how much the incident light illuminates the surface. </t>
    </r>
  </si>
  <si>
    <t>If it had not been approved at Provisional Certification or if there is any change:
• Copy of the ISO 14001 certificate of the main contractor</t>
  </si>
  <si>
    <r>
      <rPr>
        <b/>
        <sz val="10"/>
        <rFont val="Arial"/>
        <family val="2"/>
      </rPr>
      <t xml:space="preserve">Strategy C: Green Awareness </t>
    </r>
    <r>
      <rPr>
        <sz val="10"/>
        <rFont val="Arial"/>
        <family val="2"/>
      </rPr>
      <t xml:space="preserve">
Implement a permanent green-awareness campaign</t>
    </r>
  </si>
  <si>
    <t>Provide a User guide for occupants</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</si>
  <si>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promote techniques and/or initiatives that are out of the scope of the current LOTUS Interiors system.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151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Fill in the light red-coloured cells with the different innovative initiatives implemented. </t>
    </r>
  </si>
  <si>
    <r>
      <rPr>
        <b/>
        <sz val="10"/>
        <color rgb="FFFFA500"/>
        <rFont val="Arial"/>
        <family val="2"/>
      </rPr>
      <t xml:space="preserve">Commissioning Records </t>
    </r>
    <r>
      <rPr>
        <sz val="10"/>
        <rFont val="Arial"/>
        <family val="2"/>
      </rPr>
      <t>- Documents that record the activities and results of the Commissioning Process, including inspection reports, testing reports, etc.</t>
    </r>
  </si>
  <si>
    <r>
      <rPr>
        <b/>
        <sz val="10"/>
        <color rgb="FFFFA500"/>
        <rFont val="Arial"/>
        <family val="2"/>
      </rPr>
      <t xml:space="preserve">Contract </t>
    </r>
    <r>
      <rPr>
        <sz val="10"/>
        <rFont val="Arial"/>
        <family val="2"/>
      </rPr>
      <t xml:space="preserve">- A binding legal agreement of an exchange of promises between two or more parties.  </t>
    </r>
  </si>
  <si>
    <r>
      <rPr>
        <b/>
        <sz val="10"/>
        <color rgb="FFFFAF00"/>
        <rFont val="Arial"/>
        <family val="2"/>
      </rPr>
      <t>Record</t>
    </r>
    <r>
      <rPr>
        <sz val="10"/>
        <rFont val="Arial"/>
        <family val="2"/>
      </rPr>
      <t xml:space="preserve"> - Document that memorializes and provides objective evidence of activities performed, events occurred, results achieved, or statements made. </t>
    </r>
  </si>
  <si>
    <r>
      <rPr>
        <b/>
        <sz val="10"/>
        <color rgb="FFFFAF00"/>
        <rFont val="Arial"/>
        <family val="2"/>
      </rPr>
      <t xml:space="preserve">Basis of Design </t>
    </r>
    <r>
      <rPr>
        <sz val="10"/>
        <rFont val="Arial"/>
        <family val="2"/>
      </rPr>
      <t>- It is a document that records the concepts, calculations, decisions, and product selections used to meet the Owner’s Project Requirements and to satisfy applicable regulatory requirements, standards, and guidelines. The document includes both narrative descriptions and specific assumptions made by the designers.</t>
    </r>
  </si>
  <si>
    <r>
      <rPr>
        <b/>
        <sz val="10"/>
        <color rgb="FFFFAF00"/>
        <rFont val="Arial"/>
        <family val="2"/>
      </rPr>
      <t>Climate change</t>
    </r>
    <r>
      <rPr>
        <sz val="10"/>
        <rFont val="Arial"/>
        <family val="2"/>
      </rPr>
      <t xml:space="preserve"> - In modern terms, climate change refers to the changes of the Earth climate mainly due to the uncharacteristic increase of greenhouse gases concentration in the atmosphere, resulting from human activities.</t>
    </r>
  </si>
  <si>
    <r>
      <rPr>
        <b/>
        <sz val="10"/>
        <color rgb="FFFFAF00"/>
        <rFont val="Arial"/>
        <family val="2"/>
      </rPr>
      <t xml:space="preserve">Environmental Product Declaration (EPD) </t>
    </r>
    <r>
      <rPr>
        <sz val="10"/>
        <rFont val="Arial"/>
        <family val="2"/>
      </rPr>
      <t>– It is a standardized way of quantifying the environmental impact of a product or system. Declarations include information on the environmental impact of raw material acquisition, energy use and efficiency, content of materials and chemical substances, emissions to air, soil and water and waste generation. Product and company information is also included.</t>
    </r>
  </si>
  <si>
    <r>
      <rPr>
        <b/>
        <sz val="10"/>
        <color rgb="FFFFAF00"/>
        <rFont val="Arial"/>
        <family val="2"/>
      </rPr>
      <t xml:space="preserve">Natural lighting or daylighting </t>
    </r>
    <r>
      <rPr>
        <sz val="10"/>
        <rFont val="Arial"/>
        <family val="2"/>
      </rPr>
      <t>- Technologies or design strategies used to provide lighting to buildings without power consumption. Although maximizing natural lighting will minimize electricity consumption used for lighting, too much solar irradiation will heat up the building and increase cooling load.</t>
    </r>
  </si>
  <si>
    <r>
      <rPr>
        <b/>
        <sz val="10"/>
        <color rgb="FFFFAF00"/>
        <rFont val="Arial"/>
        <family val="2"/>
      </rPr>
      <t xml:space="preserve">Tenant </t>
    </r>
    <r>
      <rPr>
        <sz val="10"/>
        <rFont val="Arial"/>
        <family val="2"/>
      </rPr>
      <t>- Entity (person, company, etc.) that occupies a property rented from a landlord (the property owner) through a lease or tenancy agreement.</t>
    </r>
  </si>
  <si>
    <r>
      <rPr>
        <b/>
        <sz val="10"/>
        <color rgb="FFFFAF00"/>
        <rFont val="Arial"/>
        <family val="2"/>
      </rPr>
      <t xml:space="preserve">Testing, Adjusting and Balancing (TAB) </t>
    </r>
    <r>
      <rPr>
        <sz val="10"/>
        <rFont val="Arial"/>
        <family val="2"/>
      </rPr>
      <t>- They are the three major steps used to achieve proper operation of HVAC systems. Testing is the use of specialized and calibrated instruments to measure temperatures, pressures, rotational speeds, electrical characteristics, velocities, and air and water quantities for an evaluation of equipment and system performance. Balancing is the methodical regulation of system fluid flows (air or water) through the use of acceptable procedures to achieve the desired or specified airflow or water flow. Adjusting is the final setting of balancing devices such as dampers and valves, adjusting fan speeds and pump impeller sizes, in addition to automatic control devices such as thermostats and pressure controllers to achieve maximum specified system performance and efficiency during normal operation</t>
    </r>
  </si>
  <si>
    <r>
      <rPr>
        <b/>
        <sz val="10"/>
        <color rgb="FFFFAF00"/>
        <rFont val="Arial"/>
        <family val="2"/>
      </rPr>
      <t xml:space="preserve">VAV (variable air volume) </t>
    </r>
    <r>
      <rPr>
        <sz val="10"/>
        <rFont val="Arial"/>
        <family val="2"/>
      </rPr>
      <t>- Type of HVAC system which has the ability to vary the airflow of cooled supply air (maintained at a constant temperature) to the different air-conditioned spaces in order to meet precisely the thermal setpoint.</t>
    </r>
  </si>
  <si>
    <r>
      <rPr>
        <b/>
        <sz val="10"/>
        <color rgb="FFFFAF00"/>
        <rFont val="Arial"/>
        <family val="2"/>
      </rPr>
      <t xml:space="preserve">VRV/VRF (variable refrigerant volume/flow) </t>
    </r>
    <r>
      <rPr>
        <sz val="10"/>
        <rFont val="Arial"/>
        <family val="2"/>
      </rPr>
      <t>- Type of direct (one refrigerant only) air-conditioning system with variable speed compressors, several air handlers (indoor units) on the same refrigerant loop/circuit.</t>
    </r>
  </si>
  <si>
    <r>
      <rPr>
        <b/>
        <sz val="10"/>
        <color rgb="FFFFAF00"/>
        <rFont val="Arial"/>
        <family val="2"/>
      </rPr>
      <t>VSD (variable-speed drive)</t>
    </r>
    <r>
      <rPr>
        <b/>
        <sz val="10"/>
        <rFont val="Arial"/>
        <family val="2"/>
      </rPr>
      <t xml:space="preserve"> </t>
    </r>
    <r>
      <rPr>
        <sz val="10"/>
        <rFont val="Arial"/>
        <family val="2"/>
      </rPr>
      <t>- Equipment used to control the speed of a pump or fan to adjust to the demand.</t>
    </r>
  </si>
  <si>
    <r>
      <rPr>
        <b/>
        <sz val="10"/>
        <color rgb="FFFFAF00"/>
        <rFont val="Arial"/>
        <family val="2"/>
      </rPr>
      <t>ASHRAE</t>
    </r>
    <r>
      <rPr>
        <sz val="10"/>
        <rFont val="Arial"/>
        <family val="2"/>
      </rPr>
      <t xml:space="preserve"> - The American Society of Heating, Refrigerating and Air Conditioning Engineers is an international technical society for all individuals and organizations interested in heating, ventilation, air-conditioning, and refrigeration. The society publications include handbook, journal as well as series of HVAC relating standards and guidelines. These standards are often referenced in green building assessment reference guide/technical manual and are considered useful guide for consulting engineers, mechanical contractors, architects, and government agencies.</t>
    </r>
  </si>
  <si>
    <r>
      <rPr>
        <b/>
        <sz val="10"/>
        <color rgb="FFFFAF00"/>
        <rFont val="Arial"/>
        <family val="2"/>
      </rPr>
      <t>Computational Fluid Dynamic (CFD) Analysis</t>
    </r>
    <r>
      <rPr>
        <sz val="10"/>
        <rFont val="Arial"/>
        <family val="2"/>
      </rPr>
      <t xml:space="preserve"> - A modelling technique that can be used to calculate fluid properties such as temperature, heat flow, wind velocity and air flow of a building.</t>
    </r>
  </si>
  <si>
    <t>3 - Office buildings, Design and Research facilities</t>
  </si>
  <si>
    <t>22h to 6h</t>
  </si>
  <si>
    <t>6h to 22h</t>
  </si>
  <si>
    <t xml:space="preserve">Working spaces, with office equipment, computers </t>
  </si>
  <si>
    <t>Reception rooms</t>
  </si>
  <si>
    <t>Court room</t>
  </si>
  <si>
    <t>Working spaces</t>
  </si>
  <si>
    <t>4 - Court</t>
  </si>
  <si>
    <t>5 - Shops, malls, supermarkets</t>
  </si>
  <si>
    <t>6 - Restaurants, beverage shops</t>
  </si>
  <si>
    <t>7 - Public service centers: laundry, clothes tailor, equipment and electronics repair, hairdresser, bath</t>
  </si>
  <si>
    <t>8 - Central market (with or without roofs)</t>
  </si>
  <si>
    <t>H-10 Thermal Comfort - Strategy A: Thermal Comfort Design</t>
  </si>
  <si>
    <t>- Lighting Power Density of the space is reduced by more than 30% compared with the LPD value of the same space type in Table A.1</t>
  </si>
  <si>
    <t>(Sources: QCXDVN 09:2005, ASHRAE 90.1 – 2007 &amp; 2010, ECBC – 2007)</t>
  </si>
  <si>
    <t>Space types</t>
  </si>
  <si>
    <r>
      <t>LPD (W/m</t>
    </r>
    <r>
      <rPr>
        <vertAlign val="superscript"/>
        <sz val="10"/>
        <color rgb="FFFFFFFF"/>
        <rFont val="Arial"/>
        <family val="2"/>
      </rPr>
      <t>2</t>
    </r>
    <r>
      <rPr>
        <sz val="10"/>
        <color rgb="FFFFFFFF"/>
        <rFont val="Arial"/>
        <family val="2"/>
      </rPr>
      <t>)</t>
    </r>
  </si>
  <si>
    <t>Typical of all buildings</t>
  </si>
  <si>
    <t>Restrooms</t>
  </si>
  <si>
    <t>Electrical/Mechanical</t>
  </si>
  <si>
    <t>Dressing/Locker/Fitting Room</t>
  </si>
  <si>
    <t>Audio Visual areas</t>
  </si>
  <si>
    <t>Temples/ Churches/ Synagogues</t>
  </si>
  <si>
    <t>Low Bay (&lt;25 ft Floor to Ceiling Height)</t>
  </si>
  <si>
    <t>High Bay (≥25 ft Floor to Ceiling Height)</t>
  </si>
  <si>
    <t>Detailed Manufacturing</t>
  </si>
  <si>
    <t>Equipment Room</t>
  </si>
  <si>
    <t>Control Room</t>
  </si>
  <si>
    <t>Garage area</t>
  </si>
  <si>
    <t xml:space="preserve">Exhibit Space </t>
  </si>
  <si>
    <t>Living Quarters</t>
  </si>
  <si>
    <t>Fine Material Storage</t>
  </si>
  <si>
    <t>Medium/Bulky Material Storage</t>
  </si>
  <si>
    <t>Apartments</t>
  </si>
  <si>
    <t>Banks</t>
  </si>
  <si>
    <t>Hotels</t>
  </si>
  <si>
    <t>Offices</t>
  </si>
  <si>
    <t>Printing</t>
  </si>
  <si>
    <t xml:space="preserve">Restaurants </t>
  </si>
  <si>
    <t>Retail, shops, stores</t>
  </si>
  <si>
    <t>Schools</t>
  </si>
  <si>
    <t>Worship</t>
  </si>
  <si>
    <t>Manufacturing</t>
  </si>
  <si>
    <t>Parking - Garage</t>
  </si>
  <si>
    <t>Convention center</t>
  </si>
  <si>
    <t>Dormitory</t>
  </si>
  <si>
    <t>Warehouse</t>
  </si>
  <si>
    <r>
      <rPr>
        <sz val="10"/>
        <color rgb="FF943634"/>
        <rFont val="Arial"/>
        <family val="2"/>
      </rPr>
      <t>Table A.1</t>
    </r>
    <r>
      <rPr>
        <sz val="10"/>
        <color theme="1"/>
        <rFont val="Arial"/>
        <family val="2"/>
      </rPr>
      <t xml:space="preserve">: Lighting Power Density Requirements </t>
    </r>
  </si>
  <si>
    <t>• Commissioning report including:
- List of equipment/system commissioned
- Completed installation checklists
- If any, TAB report summarizing the TAB work showing the measurements, the adjustments made, the deficiencies found during the TAB work, etc.</t>
  </si>
  <si>
    <t>Light fixture with low luminance</t>
  </si>
  <si>
    <t>If light fixtures with low luminance approach is followed:
• Evidence showing that the lighting fixtures to be installed will be compliant such as tender specifications, lighting schedule, design document, manufacturer's published data, etc.</t>
  </si>
  <si>
    <t>If obscured light sources approach is followed:
• Evidence showing that the lighting fixtures to be installed will be obscured light sources such as tender specifications, lighting schedule, design document, manufacturer's published data, etc.</t>
  </si>
  <si>
    <t>If light fixtures with low luminance approach is followed:
• Manufacturer's published data showing luminance of the light fixtures with low luminance</t>
  </si>
  <si>
    <t>If Prescriptive approach followed, submit all the documentation listed below:</t>
  </si>
  <si>
    <t>• Evidence showing that the lighting fixtures to be installed will be compliant with unified glare rating such as tender specifications, design document, manufacturer's published data, etc.</t>
  </si>
  <si>
    <t xml:space="preserve">• Results of UGR calculations or manufacturer’s published data showing UGR values </t>
  </si>
  <si>
    <t>If Unified Glare Rating approach followed, submit all the documentation listed below:</t>
  </si>
  <si>
    <t>If obscured light sources approach is followed:
• Evidence showing that the lighting fixtures installed are obscured light sources such as manufacturer's published data, photographs, etc.</t>
  </si>
  <si>
    <t>The VGBC would also like to thank its generous and valuable members (as of August 2017):</t>
  </si>
  <si>
    <t>Provide a recycling waste storage area on the construction site for collection and separation of recyclable fit-out waste.</t>
  </si>
  <si>
    <t>Consider and implement 2 strategies to reduce the waste generation during fit-out activities.</t>
  </si>
  <si>
    <t>Case 3: In a credit with different strategies available, the building performance reaches a higher number of points than what is available in the credit.</t>
  </si>
  <si>
    <r>
      <rPr>
        <sz val="10"/>
        <rFont val="Calibri"/>
        <family val="2"/>
      </rPr>
      <t>•</t>
    </r>
    <r>
      <rPr>
        <sz val="10"/>
        <rFont val="Arial"/>
        <family val="2"/>
      </rPr>
      <t xml:space="preserve"> Global Green Tag</t>
    </r>
  </si>
  <si>
    <t>Are considered as low VOC products in LOTUS Interiors, the products which either:</t>
  </si>
  <si>
    <t>• are certified as low VOC products by any internationally or regionally recognised authorities/labels (e.g. Singapore Green Label, GreenGuard, Global Green Tag, Cradle to Cradle, etc.);</t>
  </si>
  <si>
    <t>• or, are inherently non-emitting VOC (stone, ceramics, powder-coated metals, plated metals or anodized metals, glass, concrete, clay brick, and unfinished/untreated solid wood, etc.)</t>
  </si>
  <si>
    <t>• or, have a VOC content lower than the limits set by any internationally or regionally recognised authorities/labels. In this case, the VOC content of the products should appear either on manufacturer’s published data or on laboratory test results following relevant test methods such as: US EPA Reference Method 24, EN 16516, ASTM D6886, etc.;</t>
  </si>
  <si>
    <t>Materials/Products third-party certified based on whole lifecycle analysis</t>
  </si>
  <si>
    <t>Materials/Products certified under third party ecolabels considering whole lifecycle analysis (LCA) such as Global GreenTag LCARate, Cradle to Cradle, NSF Sustainability Assessment, etc.</t>
  </si>
  <si>
    <t xml:space="preserve">Materials/Products certified under third party ecolabels (not considering whole LCA) such as Global GreenTag GreenRate, Singapore Green Building Product, Singapore Green Labelling Scheme (SGLS), etc. </t>
  </si>
  <si>
    <t>Materials third-party certified based on whole lifecycle analysis</t>
  </si>
  <si>
    <t xml:space="preserve">Other third-party certified materials </t>
  </si>
  <si>
    <t>• Materials third-party certified based on whole lifecycle analysis</t>
  </si>
  <si>
    <t xml:space="preserve">• Other third-party certified materials </t>
  </si>
  <si>
    <t>• Platinum &amp; Gold (or equivalent): 100%
• Silver (or equivalent):  80%
• Bronze (or equivalent):  60%
• Basic (or equivalent): 40%</t>
  </si>
  <si>
    <t>Products with an Environmental Product Declaration</t>
  </si>
  <si>
    <t>Products third-party certified based on whole lifecycle analysis</t>
  </si>
  <si>
    <t xml:space="preserve">Other third-party certified products </t>
  </si>
  <si>
    <t>• Products third-party certified based on whole lifecycle analysis</t>
  </si>
  <si>
    <t xml:space="preserve">• Other third-party certified products </t>
  </si>
  <si>
    <t>Other certified material</t>
  </si>
  <si>
    <t>Materials certified based on LCA 
(Platinum or Gold equivalent)</t>
  </si>
  <si>
    <t>Materials certified based on LCA 
(Silver equivalent)</t>
  </si>
  <si>
    <t>Materials certified based on LCA 
(Bronze equivalent)</t>
  </si>
  <si>
    <t>Materials certified based on LCA 
(Basic equivalent)</t>
  </si>
  <si>
    <t>LCA Certified</t>
  </si>
  <si>
    <t>Non-baked material</t>
  </si>
  <si>
    <t>A maximum of 3 sustainable features can be considered for one material. Exception for materials that are third-party certified based on whole lifecycle analysis.</t>
  </si>
  <si>
    <t>Product certified based on LCA 
(Silver equivalent)</t>
  </si>
  <si>
    <t>Product certified based on LCA 
(Platinum or Gold equivalent)</t>
  </si>
  <si>
    <t>Product certified based on LCA 
(Basic equivalent)</t>
  </si>
  <si>
    <t>Product certified based on LCA 
(Bronze equivalent)</t>
  </si>
  <si>
    <t>Other certified product</t>
  </si>
  <si>
    <r>
      <rPr>
        <b/>
        <sz val="10"/>
        <color rgb="FFFFA500"/>
        <rFont val="Arial"/>
        <family val="2"/>
      </rPr>
      <t>Inventory / Schedule</t>
    </r>
    <r>
      <rPr>
        <b/>
        <sz val="10"/>
        <color rgb="FF984806"/>
        <rFont val="Arial"/>
        <family val="2"/>
      </rPr>
      <t xml:space="preserve"> </t>
    </r>
    <r>
      <rPr>
        <b/>
        <sz val="10"/>
        <color rgb="FF58AB27"/>
        <rFont val="Arial"/>
        <family val="2"/>
      </rPr>
      <t xml:space="preserve"> </t>
    </r>
    <r>
      <rPr>
        <sz val="10"/>
        <color theme="1"/>
        <rFont val="Arial"/>
        <family val="2"/>
      </rPr>
      <t>- A complete list of specific items or contents within a project space</t>
    </r>
  </si>
  <si>
    <r>
      <rPr>
        <b/>
        <sz val="10"/>
        <color rgb="FFFFA500"/>
        <rFont val="Arial"/>
        <family val="2"/>
      </rPr>
      <t>Invoice / Receipt</t>
    </r>
    <r>
      <rPr>
        <b/>
        <sz val="10"/>
        <color rgb="FF58AB27"/>
        <rFont val="Arial"/>
        <family val="2"/>
      </rPr>
      <t xml:space="preserve"> </t>
    </r>
    <r>
      <rPr>
        <sz val="10"/>
        <color theme="1"/>
        <rFont val="Arial"/>
        <family val="2"/>
      </rPr>
      <t>- A proof of purchase given from a supplier to a consumer.</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</si>
  <si>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installation of systems that limit the atmospheric impact due to the use of refrigerants.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Option B </t>
    </r>
    <r>
      <rPr>
        <b/>
        <sz val="11"/>
        <color rgb="FFFF0000"/>
        <rFont val="Arial"/>
        <family val="2"/>
      </rPr>
      <t>OR</t>
    </r>
    <r>
      <rPr>
        <b/>
        <sz val="11"/>
        <color theme="1" tint="0.249977111117893"/>
        <rFont val="Arial"/>
        <family val="2"/>
      </rPr>
      <t xml:space="preserve"> Option C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</si>
  <si>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minimise the effect of passive smoking.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84 of the LOTUS Interiors V1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</si>
  <si>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the provision of enough fresh air to maintain good indoor air quality during occupancy.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86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For each occupied room, verify that sufficient fresh air supply will be provided, whether from natural ventilation, mechanical ventilation or mixed-mode ventilation.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</si>
  <si>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designs which maximize daylight in occupied areas.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99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</si>
  <si>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regulate indoor air quality via CO</t>
    </r>
    <r>
      <rPr>
        <vertAlign val="subscript"/>
        <sz val="11"/>
        <color theme="1" tint="0.249977111117893"/>
        <rFont val="Arial"/>
        <family val="2"/>
      </rPr>
      <t>2</t>
    </r>
    <r>
      <rPr>
        <sz val="11"/>
        <color theme="1" tint="0.249977111117893"/>
        <rFont val="Arial"/>
        <family val="2"/>
      </rPr>
      <t xml:space="preserve"> monitoring.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89 of the LOTUS Interiors V1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</si>
  <si>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minimize the negative impacts of volatile organic compounds (VOCs) &amp; formaldehydes from building materials on occupant’s health.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and and they can all be followed at the same time with a </t>
    </r>
    <r>
      <rPr>
        <b/>
        <sz val="11"/>
        <color rgb="FF943634"/>
        <rFont val="Arial"/>
        <family val="2"/>
      </rPr>
      <t>maximum of 4 points available.</t>
    </r>
    <r>
      <rPr>
        <b/>
        <sz val="11"/>
        <color theme="1" tint="0.249977111117893"/>
        <rFont val="Arial"/>
        <family val="2"/>
      </rPr>
      <t xml:space="preserve">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</si>
  <si>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potential for indoor air quality problems resulting from the construction.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94 of the LOTUS Interiors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Flush-out </t>
    </r>
    <r>
      <rPr>
        <b/>
        <sz val="11"/>
        <color rgb="FFFF0000"/>
        <rFont val="Arial"/>
        <family val="2"/>
      </rPr>
      <t>OR</t>
    </r>
    <r>
      <rPr>
        <b/>
        <sz val="11"/>
        <color theme="1" tint="0.249977111117893"/>
        <rFont val="Arial"/>
        <family val="2"/>
      </rPr>
      <t xml:space="preserve"> Option B: Clean air supply ductwork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</si>
  <si>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installation of interior plants that will improve indoor air quality and enhance the productivity.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96 of the LOTUS Interiors V1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</si>
  <si>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environmentally friendly cleaning products and procedures.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98 of the LOTUS Interiors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</si>
  <si>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increase the occupants connection to the outdoors by ensuring direct line of sight to the exterior of the building.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103 of the LOTUS Interiors V1 Technical Manual
</t>
    </r>
    <r>
      <rPr>
        <b/>
        <u/>
        <sz val="11"/>
        <color theme="1" tint="0.249977111117893"/>
        <rFont val="Arial"/>
        <family val="2"/>
      </rPr>
      <t>Instructions</t>
    </r>
    <r>
      <rPr>
        <b/>
        <sz val="11"/>
        <color theme="1" tint="0.249977111117893"/>
        <rFont val="Arial"/>
        <family val="2"/>
      </rPr>
      <t xml:space="preserve">: </t>
    </r>
    <r>
      <rPr>
        <b/>
        <sz val="11"/>
        <color rgb="FF943634"/>
        <rFont val="Arial"/>
        <family val="2"/>
      </rPr>
      <t>2 strategies</t>
    </r>
    <r>
      <rPr>
        <b/>
        <sz val="11"/>
        <color theme="1" tint="0.249977111117893"/>
        <rFont val="Arial"/>
        <family val="2"/>
      </rPr>
      <t xml:space="preserve"> are available for this credit and both can be followed at the same time with a </t>
    </r>
    <r>
      <rPr>
        <b/>
        <sz val="11"/>
        <color rgb="FF943634"/>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</si>
  <si>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provision of high quality lighting that provides good comfort to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107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requirements of </t>
    </r>
    <r>
      <rPr>
        <b/>
        <sz val="11"/>
        <color rgb="FF943634"/>
        <rFont val="Arial"/>
        <family val="2"/>
      </rPr>
      <t>at least 2 strategies</t>
    </r>
    <r>
      <rPr>
        <b/>
        <sz val="11"/>
        <color theme="1" tint="0.249977111117893"/>
        <rFont val="Arial"/>
        <family val="2"/>
      </rPr>
      <t xml:space="preserve"> must be met in order to be awarded 1 point.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</si>
  <si>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designs which achieve comfortable thermal conditions for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113 of the LOTUS Interiors V1 Technical Manual
</t>
    </r>
    <r>
      <rPr>
        <b/>
        <u/>
        <sz val="11"/>
        <color theme="1" tint="0.249977111117893"/>
        <rFont val="Arial"/>
        <family val="2"/>
      </rPr>
      <t>Instructions</t>
    </r>
    <r>
      <rPr>
        <b/>
        <sz val="11"/>
        <color theme="1" tint="0.249977111117893"/>
        <rFont val="Arial"/>
        <family val="2"/>
      </rPr>
      <t xml:space="preserve">: 3 strategies are available for this credit and they can all be followed at the same time with a </t>
    </r>
    <r>
      <rPr>
        <b/>
        <sz val="11"/>
        <color rgb="FF943634"/>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</si>
  <si>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provide a comfortable acoustic environment for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117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Internal Noise Levels </t>
    </r>
    <r>
      <rPr>
        <b/>
        <sz val="11"/>
        <color rgb="FFFF0000"/>
        <rFont val="Arial"/>
        <family val="2"/>
      </rPr>
      <t>OR</t>
    </r>
    <r>
      <rPr>
        <b/>
        <sz val="11"/>
        <color theme="1" tint="0.249977111117893"/>
        <rFont val="Arial"/>
        <family val="2"/>
      </rPr>
      <t xml:space="preserve"> Option B: Reverberation Time</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</si>
  <si>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comfort for occupants during operation.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121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</si>
  <si>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the selection of LOTUS certified base building or a base building that features green attributes.
</t>
    </r>
    <r>
      <rPr>
        <b/>
        <u/>
        <sz val="11"/>
        <color theme="1" tint="0.249977111117893"/>
        <rFont val="Arial"/>
        <family val="2"/>
      </rPr>
      <t>Reference:</t>
    </r>
    <r>
      <rPr>
        <sz val="11"/>
        <color theme="1" tint="0.249977111117893"/>
        <rFont val="Arial"/>
        <family val="2"/>
      </rPr>
      <t xml:space="preserve"> Page 125 of the LOTUS Interiors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Option A: Certified base building </t>
    </r>
    <r>
      <rPr>
        <b/>
        <sz val="11"/>
        <color rgb="FFFF0000"/>
        <rFont val="Arial"/>
        <family val="2"/>
      </rPr>
      <t>OR</t>
    </r>
    <r>
      <rPr>
        <b/>
        <sz val="11"/>
        <color theme="1" tint="0.249977111117893"/>
        <rFont val="Arial"/>
        <family val="2"/>
      </rPr>
      <t xml:space="preserve"> Option B: Base building with green attributes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</si>
  <si>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lease types that will help to improve the sustainability performance of the project.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127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Long-term lease </t>
    </r>
    <r>
      <rPr>
        <b/>
        <sz val="11"/>
        <color rgb="FFFF0000"/>
        <rFont val="Arial"/>
        <family val="2"/>
      </rPr>
      <t>OR</t>
    </r>
    <r>
      <rPr>
        <b/>
        <sz val="11"/>
        <color theme="1" tint="0.249977111117893"/>
        <rFont val="Arial"/>
        <family val="2"/>
      </rPr>
      <t xml:space="preserve"> Option B: Green lease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</si>
  <si>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raise awareness of the different collective transport means available to occupants and implement policies to ensure a significant proportion of occupant trips are made by green transport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129 of the LOTUS Interiors V1 Technical Manual
</t>
    </r>
    <r>
      <rPr>
        <b/>
        <u/>
        <sz val="11"/>
        <color theme="1" tint="0.249977111117893"/>
        <rFont val="Arial"/>
        <family val="2"/>
      </rPr>
      <t>Instructions</t>
    </r>
    <r>
      <rPr>
        <b/>
        <sz val="11"/>
        <color theme="1" tint="0.249977111117893"/>
        <rFont val="Arial"/>
        <family val="2"/>
      </rPr>
      <t xml:space="preserve">: </t>
    </r>
    <r>
      <rPr>
        <b/>
        <sz val="11"/>
        <color rgb="FF76923C"/>
        <rFont val="Arial"/>
        <family val="2"/>
      </rPr>
      <t>First, make sure to achieve the Prerequisite requirements</t>
    </r>
    <r>
      <rPr>
        <b/>
        <sz val="11"/>
        <color theme="1" tint="0.249977111117893"/>
        <rFont val="Arial"/>
        <family val="2"/>
      </rPr>
      <t xml:space="preserve">. Then, </t>
    </r>
    <r>
      <rPr>
        <b/>
        <sz val="11"/>
        <color rgb="FF76923C"/>
        <rFont val="Arial"/>
        <family val="2"/>
      </rPr>
      <t>5 strategies</t>
    </r>
    <r>
      <rPr>
        <b/>
        <sz val="11"/>
        <color theme="1" tint="0.249977111117893"/>
        <rFont val="Arial"/>
        <family val="2"/>
      </rPr>
      <t xml:space="preserve"> are available for this credit and they can all be followed at the same time with a </t>
    </r>
    <r>
      <rPr>
        <b/>
        <sz val="11"/>
        <color rgb="FF76923C"/>
        <rFont val="Arial"/>
        <family val="2"/>
      </rPr>
      <t>maximum of 3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</si>
  <si>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provide access to facilities and amenities for the occupants and increase their well-being, satisfaction and enjoyment.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133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</si>
  <si>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146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84806"/>
        <rFont val="Arial"/>
        <family val="2"/>
      </rPr>
      <t>3 strategies</t>
    </r>
    <r>
      <rPr>
        <b/>
        <sz val="11"/>
        <color theme="1" tint="0.249977111117893"/>
        <rFont val="Arial"/>
        <family val="2"/>
      </rPr>
      <t xml:space="preserve"> are available for this credit and they can all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</si>
  <si>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144 of the LOTUS Interiors V1 Technical Manual
</t>
    </r>
    <r>
      <rPr>
        <b/>
        <u/>
        <sz val="11"/>
        <color theme="1" tint="0.249977111117893"/>
        <rFont val="Arial"/>
        <family val="2"/>
      </rPr>
      <t>Instructions</t>
    </r>
    <r>
      <rPr>
        <b/>
        <sz val="11"/>
        <color theme="1" tint="0.249977111117893"/>
        <rFont val="Arial"/>
        <family val="2"/>
      </rPr>
      <t>:</t>
    </r>
    <r>
      <rPr>
        <sz val="11"/>
        <color rgb="FF984806"/>
        <rFont val="Arial"/>
        <family val="2"/>
      </rPr>
      <t xml:space="preserve"> </t>
    </r>
    <r>
      <rPr>
        <b/>
        <sz val="11"/>
        <color rgb="FF984806"/>
        <rFont val="Arial"/>
        <family val="2"/>
      </rPr>
      <t>2 strategies</t>
    </r>
    <r>
      <rPr>
        <b/>
        <sz val="11"/>
        <color theme="1" tint="0.249977111117893"/>
        <rFont val="Arial"/>
        <family val="2"/>
      </rPr>
      <t xml:space="preserve"> are available for this credit and both can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</si>
  <si>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141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2 strategies are available for this credit and both can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</si>
  <si>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sustainable and environmentally friendly construction activities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138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84806"/>
        <rFont val="Arial"/>
        <family val="2"/>
      </rPr>
      <t>4 strategies</t>
    </r>
    <r>
      <rPr>
        <b/>
        <sz val="11"/>
        <color theme="1" tint="0.249977111117893"/>
        <rFont val="Arial"/>
        <family val="2"/>
      </rPr>
      <t xml:space="preserve"> are available for this credit and they can all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</si>
  <si>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involvement of a LOTUS AP to manage the sustainable aspects of the project through the design process and maintained during the construction stage.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137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Complete the light red-coloured cells with information on the LOTUS AP involvement in the project.</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</si>
  <si>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exceptional performance, and recognise projects that achieves environmental benefits in excess of the current LOTUS Interiors benchmarks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150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</si>
  <si>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Option A: Green certified base building</t>
  </si>
  <si>
    <r>
      <rPr>
        <b/>
        <sz val="10"/>
        <rFont val="Arial"/>
        <family val="2"/>
      </rPr>
      <t>Option A: Green certified base building</t>
    </r>
    <r>
      <rPr>
        <sz val="10"/>
        <rFont val="Arial"/>
        <family val="2"/>
      </rPr>
      <t xml:space="preserve">
For 2 points, base building is certified under a recognised green building certification system with a rating equivalent to LOTUS Certified or Silver Certified 
For 3 points, base building is certified under a recognised green building certification system with a rating equivalent to LOTUS Gold or Platinum Certified</t>
    </r>
  </si>
  <si>
    <t>8th Floor, Hanoi Creative City Building, 01 Luong Yen, Hai Ba Trung, Hanoi, Vietnam</t>
  </si>
  <si>
    <r>
      <rPr>
        <b/>
        <sz val="10"/>
        <rFont val="Arial"/>
        <family val="2"/>
      </rPr>
      <t>Strategy A: Environmentally friendly waste management system</t>
    </r>
    <r>
      <rPr>
        <sz val="10"/>
        <rFont val="Arial"/>
        <family val="2"/>
      </rPr>
      <t xml:space="preserve">
Implement an environmentally friendly waste management system</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</si>
  <si>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implement waste sorting and facilitate the recycling and reuse of waste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78 of the LOTUS Interiors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4A562A"/>
        <rFont val="Arial"/>
        <family val="2"/>
      </rPr>
      <t>2 strategies</t>
    </r>
    <r>
      <rPr>
        <b/>
        <sz val="11"/>
        <color theme="1" tint="0.249977111117893"/>
        <rFont val="Arial"/>
        <family val="2"/>
      </rPr>
      <t xml:space="preserve"> are available for this credit and both can be followed at the same time with a </t>
    </r>
    <r>
      <rPr>
        <b/>
        <sz val="11"/>
        <color rgb="FF4A562A"/>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</si>
  <si>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reuse, salvage and recycling of fit-out waste and to minimize disposal in landfill.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75 of the LOTUS Interiors V1 Technical Manual
</t>
    </r>
    <r>
      <rPr>
        <b/>
        <u/>
        <sz val="11"/>
        <color theme="1" tint="0.249977111117893"/>
        <rFont val="Arial"/>
        <family val="2"/>
      </rPr>
      <t>Instructions</t>
    </r>
    <r>
      <rPr>
        <b/>
        <sz val="11"/>
        <color theme="1" tint="0.249977111117893"/>
        <rFont val="Arial"/>
        <family val="2"/>
      </rPr>
      <t xml:space="preserve">: </t>
    </r>
    <r>
      <rPr>
        <b/>
        <sz val="11"/>
        <color rgb="FF4A562A"/>
        <rFont val="Arial"/>
        <family val="2"/>
      </rPr>
      <t>First, make sure to achieve the Prerequisite requirements</t>
    </r>
    <r>
      <rPr>
        <b/>
        <sz val="11"/>
        <color theme="1" tint="0.249977111117893"/>
        <rFont val="Arial"/>
        <family val="2"/>
      </rPr>
      <t xml:space="preserve">. Then, </t>
    </r>
    <r>
      <rPr>
        <b/>
        <sz val="11"/>
        <color rgb="FF4A562A"/>
        <rFont val="Arial"/>
        <family val="2"/>
      </rPr>
      <t>2 strategies</t>
    </r>
    <r>
      <rPr>
        <b/>
        <sz val="11"/>
        <color theme="1" tint="0.249977111117893"/>
        <rFont val="Arial"/>
        <family val="2"/>
      </rPr>
      <t xml:space="preserve"> are available for this credit and both can be followed at the same time with a </t>
    </r>
    <r>
      <rPr>
        <b/>
        <sz val="11"/>
        <color rgb="FF4A562A"/>
        <rFont val="Arial"/>
        <family val="2"/>
      </rPr>
      <t>maximum of 2 points available</t>
    </r>
    <r>
      <rPr>
        <b/>
        <sz val="11"/>
        <color theme="1" tint="0.249977111117893"/>
        <rFont val="Arial"/>
        <family val="2"/>
      </rPr>
      <t>. Read all the instructions and complete the information in the light red-coloured cells.</t>
    </r>
  </si>
  <si>
    <t>Last updated on the 20/08/2018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</si>
</sst>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0.0"/>
    <numFmt numFmtId="167" formatCode="#,##0.0"/>
    <numFmt numFmtId="168" formatCode="#,##0.000"/>
  </numFmts>
  <fonts count="210" x14ac:knownFonts="1">
    <font>
      <sz val="11"/>
      <color theme="1"/>
      <name val="Calibri"/>
      <family val="2"/>
      <scheme val="minor"/>
    </font>
    <font>
      <sz val="11"/>
      <color theme="1"/>
      <name val="Calibri"/>
      <family val="2"/>
      <scheme val="minor"/>
    </font>
    <font>
      <sz val="10"/>
      <name val="Arial"/>
      <family val="2"/>
    </font>
    <font>
      <b/>
      <sz val="14"/>
      <name val="Arial"/>
      <family val="2"/>
    </font>
    <font>
      <b/>
      <sz val="11"/>
      <color theme="0"/>
      <name val="Arial"/>
      <family val="2"/>
    </font>
    <font>
      <b/>
      <sz val="12"/>
      <color theme="0"/>
      <name val="Arial"/>
      <family val="2"/>
    </font>
    <font>
      <b/>
      <sz val="11"/>
      <name val="Arial"/>
      <family val="2"/>
    </font>
    <font>
      <sz val="10"/>
      <color rgb="FFFF0000"/>
      <name val="Arial"/>
      <family val="2"/>
    </font>
    <font>
      <sz val="11"/>
      <name val="Arial"/>
      <family val="2"/>
    </font>
    <font>
      <b/>
      <sz val="18"/>
      <color indexed="9"/>
      <name val="Arial"/>
      <family val="2"/>
    </font>
    <font>
      <b/>
      <sz val="12"/>
      <color indexed="9"/>
      <name val="Arial"/>
      <family val="2"/>
    </font>
    <font>
      <sz val="10"/>
      <color theme="0"/>
      <name val="Arial"/>
      <family val="2"/>
    </font>
    <font>
      <vertAlign val="superscript"/>
      <sz val="10"/>
      <color theme="0"/>
      <name val="Arial"/>
      <family val="2"/>
    </font>
    <font>
      <sz val="10"/>
      <color indexed="9"/>
      <name val="Arial"/>
      <family val="2"/>
    </font>
    <font>
      <sz val="10"/>
      <color theme="1"/>
      <name val="Arial"/>
      <family val="2"/>
    </font>
    <font>
      <b/>
      <sz val="14"/>
      <color indexed="9"/>
      <name val="Arial"/>
      <family val="2"/>
    </font>
    <font>
      <sz val="11"/>
      <color theme="0"/>
      <name val="Arial"/>
      <family val="2"/>
    </font>
    <font>
      <vertAlign val="superscript"/>
      <sz val="11"/>
      <color theme="0"/>
      <name val="Arial"/>
      <family val="2"/>
    </font>
    <font>
      <sz val="11"/>
      <color theme="1"/>
      <name val="Arial"/>
      <family val="2"/>
    </font>
    <font>
      <b/>
      <sz val="10"/>
      <color theme="0"/>
      <name val="Arial"/>
      <family val="2"/>
    </font>
    <font>
      <i/>
      <sz val="10"/>
      <name val="Arial"/>
      <family val="2"/>
    </font>
    <font>
      <b/>
      <sz val="10"/>
      <name val="Arial"/>
      <family val="2"/>
    </font>
    <font>
      <b/>
      <sz val="20"/>
      <color indexed="9"/>
      <name val="Arial"/>
      <family val="2"/>
    </font>
    <font>
      <sz val="8"/>
      <name val="Arial"/>
      <family val="2"/>
    </font>
    <font>
      <u/>
      <sz val="22"/>
      <color rgb="FF58B527"/>
      <name val="Calibri"/>
      <family val="2"/>
      <scheme val="minor"/>
    </font>
    <font>
      <sz val="22"/>
      <color rgb="FF58B527"/>
      <name val="Calibri"/>
      <family val="2"/>
      <scheme val="minor"/>
    </font>
    <font>
      <u/>
      <sz val="11"/>
      <color theme="10"/>
      <name val="Calibri"/>
      <family val="2"/>
      <scheme val="minor"/>
    </font>
    <font>
      <b/>
      <sz val="9"/>
      <name val="Arial"/>
      <family val="2"/>
    </font>
    <font>
      <b/>
      <sz val="9"/>
      <color indexed="9"/>
      <name val="Arial"/>
      <family val="2"/>
    </font>
    <font>
      <sz val="9"/>
      <color theme="0"/>
      <name val="Arial"/>
      <family val="2"/>
    </font>
    <font>
      <b/>
      <sz val="8"/>
      <name val="Arial"/>
      <family val="2"/>
    </font>
    <font>
      <sz val="9"/>
      <name val="Arial"/>
      <family val="2"/>
    </font>
    <font>
      <sz val="10"/>
      <color theme="1"/>
      <name val="Symbol"/>
      <family val="1"/>
      <charset val="2"/>
    </font>
    <font>
      <vertAlign val="subscript"/>
      <sz val="10"/>
      <color indexed="9"/>
      <name val="Arial"/>
      <family val="2"/>
    </font>
    <font>
      <sz val="11"/>
      <color indexed="8"/>
      <name val="Calibri"/>
      <family val="2"/>
    </font>
    <font>
      <sz val="11"/>
      <color indexed="9"/>
      <name val="Arial"/>
      <family val="2"/>
    </font>
    <font>
      <sz val="12"/>
      <color indexed="9"/>
      <name val="Arial"/>
      <family val="2"/>
    </font>
    <font>
      <sz val="11"/>
      <color theme="0"/>
      <name val="Calibri"/>
      <family val="2"/>
      <scheme val="minor"/>
    </font>
    <font>
      <b/>
      <sz val="11"/>
      <color indexed="9"/>
      <name val="Arial"/>
      <family val="2"/>
    </font>
    <font>
      <sz val="11"/>
      <color rgb="FFFFFFFF"/>
      <name val="Arial"/>
      <family val="2"/>
    </font>
    <font>
      <sz val="20"/>
      <color rgb="FF58B527"/>
      <name val="Calibri"/>
      <family val="2"/>
      <scheme val="minor"/>
    </font>
    <font>
      <u/>
      <sz val="14"/>
      <color rgb="FF58B527"/>
      <name val="Calibri"/>
      <family val="2"/>
      <scheme val="minor"/>
    </font>
    <font>
      <i/>
      <sz val="11.5"/>
      <color theme="1"/>
      <name val="Calibri"/>
      <family val="2"/>
      <scheme val="minor"/>
    </font>
    <font>
      <u/>
      <sz val="18"/>
      <color rgb="FF943634"/>
      <name val="Calibri"/>
      <family val="2"/>
      <scheme val="minor"/>
    </font>
    <font>
      <sz val="11"/>
      <color theme="1"/>
      <name val="Calibri"/>
      <family val="2"/>
    </font>
    <font>
      <sz val="14"/>
      <color rgb="FF943634"/>
      <name val="Calibri"/>
      <family val="2"/>
      <scheme val="minor"/>
    </font>
    <font>
      <sz val="10"/>
      <name val="Calibri"/>
      <family val="2"/>
    </font>
    <font>
      <sz val="10"/>
      <color rgb="FFFFFFFF"/>
      <name val="Arial"/>
      <family val="2"/>
    </font>
    <font>
      <b/>
      <i/>
      <sz val="24"/>
      <color theme="0"/>
      <name val="Arial"/>
      <family val="2"/>
    </font>
    <font>
      <sz val="12"/>
      <color theme="0"/>
      <name val="Arial"/>
      <family val="2"/>
    </font>
    <font>
      <u/>
      <sz val="11"/>
      <color theme="10"/>
      <name val="Calibri"/>
      <family val="2"/>
    </font>
    <font>
      <sz val="11"/>
      <name val="Calibri"/>
      <family val="2"/>
    </font>
    <font>
      <sz val="12"/>
      <color rgb="FF943634"/>
      <name val="Calibri"/>
      <family val="2"/>
      <scheme val="minor"/>
    </font>
    <font>
      <sz val="12"/>
      <name val="Arial"/>
      <family val="2"/>
    </font>
    <font>
      <u/>
      <sz val="12"/>
      <color rgb="FF0563C1"/>
      <name val="Arial"/>
      <family val="2"/>
    </font>
    <font>
      <b/>
      <sz val="10"/>
      <name val="Calibri"/>
      <family val="2"/>
    </font>
    <font>
      <sz val="10"/>
      <name val="Calibri"/>
      <family val="2"/>
      <scheme val="minor"/>
    </font>
    <font>
      <sz val="10"/>
      <color theme="1" tint="0.249977111117893"/>
      <name val="Arial"/>
      <family val="2"/>
    </font>
    <font>
      <i/>
      <sz val="11"/>
      <color theme="1"/>
      <name val="Calibri"/>
      <family val="2"/>
      <scheme val="minor"/>
    </font>
    <font>
      <b/>
      <sz val="11"/>
      <color theme="1" tint="0.249977111117893"/>
      <name val="Arial"/>
      <family val="2"/>
    </font>
    <font>
      <sz val="11"/>
      <color theme="1" tint="0.249977111117893"/>
      <name val="Arial"/>
      <family val="2"/>
    </font>
    <font>
      <b/>
      <sz val="11"/>
      <color rgb="FFFF0000"/>
      <name val="Arial"/>
      <family val="2"/>
    </font>
    <font>
      <b/>
      <u/>
      <sz val="11"/>
      <color theme="1" tint="0.249977111117893"/>
      <name val="Arial"/>
      <family val="2"/>
    </font>
    <font>
      <u/>
      <sz val="11"/>
      <color rgb="FF58AB27"/>
      <name val="Arial"/>
      <family val="2"/>
    </font>
    <font>
      <sz val="10"/>
      <color rgb="FF58AB27"/>
      <name val="Arial"/>
      <family val="2"/>
    </font>
    <font>
      <i/>
      <sz val="11"/>
      <color theme="1" tint="0.34998626667073579"/>
      <name val="Arial"/>
      <family val="2"/>
    </font>
    <font>
      <u/>
      <sz val="11"/>
      <color rgb="FF0070C0"/>
      <name val="Arial"/>
      <family val="2"/>
    </font>
    <font>
      <sz val="10"/>
      <color theme="1"/>
      <name val="Calibri"/>
      <family val="2"/>
      <scheme val="minor"/>
    </font>
    <font>
      <b/>
      <sz val="10"/>
      <color theme="1"/>
      <name val="Arial"/>
      <family val="2"/>
    </font>
    <font>
      <u/>
      <sz val="11"/>
      <color rgb="FF76923C"/>
      <name val="Arial"/>
      <family val="2"/>
    </font>
    <font>
      <sz val="11"/>
      <name val="Symbol"/>
      <family val="1"/>
      <charset val="2"/>
    </font>
    <font>
      <sz val="22"/>
      <color theme="0"/>
      <name val="Calibri"/>
      <family val="2"/>
      <scheme val="minor"/>
    </font>
    <font>
      <u/>
      <sz val="16"/>
      <color rgb="FF943634"/>
      <name val="Calibri"/>
      <family val="2"/>
      <scheme val="minor"/>
    </font>
    <font>
      <sz val="14"/>
      <color theme="1"/>
      <name val="Calibri"/>
      <family val="2"/>
      <scheme val="minor"/>
    </font>
    <font>
      <sz val="11"/>
      <name val="Calibri"/>
      <family val="2"/>
      <scheme val="minor"/>
    </font>
    <font>
      <sz val="12"/>
      <name val="Calibri"/>
      <family val="2"/>
      <scheme val="minor"/>
    </font>
    <font>
      <u/>
      <sz val="11"/>
      <color rgb="FF58B527"/>
      <name val="Calibri"/>
      <family val="2"/>
      <scheme val="minor"/>
    </font>
    <font>
      <u/>
      <sz val="14"/>
      <color rgb="FF943634"/>
      <name val="Calibri"/>
      <family val="2"/>
      <scheme val="minor"/>
    </font>
    <font>
      <sz val="10"/>
      <color rgb="FF000000"/>
      <name val="Arial"/>
      <family val="2"/>
    </font>
    <font>
      <i/>
      <sz val="9"/>
      <name val="Arial"/>
      <family val="2"/>
    </font>
    <font>
      <b/>
      <sz val="22"/>
      <color indexed="9"/>
      <name val="Calibri"/>
      <family val="2"/>
      <scheme val="minor"/>
    </font>
    <font>
      <b/>
      <sz val="14"/>
      <color indexed="9"/>
      <name val="Calibri"/>
      <family val="2"/>
      <scheme val="minor"/>
    </font>
    <font>
      <u/>
      <sz val="11"/>
      <color rgb="FF0070C0"/>
      <name val="Calibri"/>
      <family val="2"/>
      <scheme val="minor"/>
    </font>
    <font>
      <sz val="11"/>
      <color rgb="FFFFFFFF"/>
      <name val="Calibri"/>
      <family val="2"/>
      <scheme val="minor"/>
    </font>
    <font>
      <sz val="12"/>
      <color rgb="FFFFFFFF"/>
      <name val="Calibri"/>
      <family val="2"/>
      <scheme val="minor"/>
    </font>
    <font>
      <b/>
      <sz val="11"/>
      <color rgb="FF76923C"/>
      <name val="Calibri"/>
      <family val="2"/>
      <scheme val="minor"/>
    </font>
    <font>
      <b/>
      <sz val="11"/>
      <color rgb="FF5F4970"/>
      <name val="Calibri"/>
      <family val="2"/>
      <scheme val="minor"/>
    </font>
    <font>
      <b/>
      <sz val="11"/>
      <name val="Calibri"/>
      <family val="2"/>
      <scheme val="minor"/>
    </font>
    <font>
      <b/>
      <sz val="11"/>
      <color rgb="FF0070C0"/>
      <name val="Calibri"/>
      <family val="2"/>
      <scheme val="minor"/>
    </font>
    <font>
      <b/>
      <sz val="11"/>
      <color rgb="FF58AB27"/>
      <name val="Calibri"/>
      <family val="2"/>
      <scheme val="minor"/>
    </font>
    <font>
      <b/>
      <sz val="11"/>
      <color rgb="FF943634"/>
      <name val="Calibri"/>
      <family val="2"/>
      <scheme val="minor"/>
    </font>
    <font>
      <b/>
      <sz val="11"/>
      <color rgb="FF984806"/>
      <name val="Calibri"/>
      <family val="2"/>
      <scheme val="minor"/>
    </font>
    <font>
      <b/>
      <sz val="11"/>
      <color rgb="FFFFC000"/>
      <name val="Calibri"/>
      <family val="2"/>
      <scheme val="minor"/>
    </font>
    <font>
      <b/>
      <sz val="11"/>
      <color rgb="FF58AB27"/>
      <name val="Calibri"/>
      <family val="2"/>
    </font>
    <font>
      <b/>
      <sz val="11"/>
      <name val="Calibri"/>
      <family val="2"/>
    </font>
    <font>
      <i/>
      <sz val="14"/>
      <color rgb="FFFF0000"/>
      <name val="Arial"/>
      <family val="2"/>
    </font>
    <font>
      <b/>
      <sz val="11"/>
      <color theme="1"/>
      <name val="Calibri"/>
      <family val="2"/>
      <scheme val="minor"/>
    </font>
    <font>
      <sz val="10"/>
      <color theme="1" tint="0.14999847407452621"/>
      <name val="Arial"/>
      <family val="2"/>
    </font>
    <font>
      <b/>
      <sz val="14"/>
      <color theme="0"/>
      <name val="Arial"/>
      <family val="2"/>
    </font>
    <font>
      <b/>
      <sz val="14"/>
      <color theme="1"/>
      <name val="Arial"/>
      <family val="2"/>
    </font>
    <font>
      <b/>
      <sz val="10"/>
      <color rgb="FF943634"/>
      <name val="Arial"/>
      <family val="2"/>
    </font>
    <font>
      <b/>
      <sz val="14"/>
      <color rgb="FFFFC000"/>
      <name val="Calibri"/>
      <family val="2"/>
      <scheme val="minor"/>
    </font>
    <font>
      <u/>
      <sz val="11"/>
      <color rgb="FF4A562A"/>
      <name val="Arial"/>
      <family val="2"/>
    </font>
    <font>
      <u/>
      <sz val="12"/>
      <color rgb="FF4A562A"/>
      <name val="Arial"/>
      <family val="2"/>
    </font>
    <font>
      <sz val="11"/>
      <color rgb="FF4A442A"/>
      <name val="Calibri"/>
      <family val="2"/>
      <scheme val="minor"/>
    </font>
    <font>
      <b/>
      <sz val="11"/>
      <color rgb="FF4A442A"/>
      <name val="Calibri"/>
      <family val="2"/>
      <scheme val="minor"/>
    </font>
    <font>
      <u/>
      <sz val="12"/>
      <color rgb="FF5F4970"/>
      <name val="Arial"/>
      <family val="2"/>
    </font>
    <font>
      <u/>
      <sz val="12"/>
      <color rgb="FF58AB27"/>
      <name val="Arial"/>
      <family val="2"/>
    </font>
    <font>
      <u/>
      <sz val="12"/>
      <color rgb="FF943634"/>
      <name val="Arial"/>
      <family val="2"/>
    </font>
    <font>
      <vertAlign val="superscript"/>
      <sz val="10"/>
      <color indexed="9"/>
      <name val="Arial"/>
      <family val="2"/>
    </font>
    <font>
      <sz val="10"/>
      <color theme="1"/>
      <name val="Calibri"/>
      <family val="2"/>
    </font>
    <font>
      <sz val="10"/>
      <color rgb="FF943634"/>
      <name val="Arial"/>
      <family val="2"/>
    </font>
    <font>
      <b/>
      <sz val="10"/>
      <color indexed="9"/>
      <name val="Arial"/>
      <family val="2"/>
    </font>
    <font>
      <u/>
      <sz val="11"/>
      <color theme="10"/>
      <name val="Arial"/>
      <family val="2"/>
    </font>
    <font>
      <sz val="10"/>
      <color rgb="FF4A562A"/>
      <name val="Arial"/>
      <family val="2"/>
    </font>
    <font>
      <vertAlign val="subscript"/>
      <sz val="10"/>
      <name val="Arial"/>
      <family val="2"/>
    </font>
    <font>
      <vertAlign val="subscript"/>
      <sz val="10"/>
      <color theme="0"/>
      <name val="Arial"/>
      <family val="2"/>
    </font>
    <font>
      <i/>
      <sz val="10"/>
      <color rgb="FF4A562A"/>
      <name val="Arial"/>
      <family val="2"/>
    </font>
    <font>
      <u/>
      <sz val="12"/>
      <color rgb="FF76923C"/>
      <name val="Arial"/>
      <family val="2"/>
    </font>
    <font>
      <vertAlign val="superscript"/>
      <sz val="10"/>
      <name val="Arial"/>
      <family val="2"/>
    </font>
    <font>
      <u/>
      <sz val="12"/>
      <color rgb="FF984806"/>
      <name val="Arial"/>
      <family val="2"/>
    </font>
    <font>
      <vertAlign val="superscript"/>
      <sz val="10"/>
      <color rgb="FFFFFFFF"/>
      <name val="Arial"/>
      <family val="2"/>
    </font>
    <font>
      <u/>
      <sz val="14"/>
      <color theme="0"/>
      <name val="Calibri"/>
      <family val="2"/>
      <scheme val="minor"/>
    </font>
    <font>
      <i/>
      <sz val="11"/>
      <name val="Calibri"/>
      <family val="2"/>
      <scheme val="minor"/>
    </font>
    <font>
      <b/>
      <sz val="16"/>
      <color rgb="FF943634"/>
      <name val="Calibri"/>
      <family val="2"/>
      <scheme val="minor"/>
    </font>
    <font>
      <i/>
      <sz val="14"/>
      <color rgb="FF943634"/>
      <name val="Calibri"/>
      <family val="2"/>
      <scheme val="minor"/>
    </font>
    <font>
      <sz val="11"/>
      <color theme="1" tint="0.14999847407452621"/>
      <name val="Calibri"/>
      <family val="2"/>
      <scheme val="minor"/>
    </font>
    <font>
      <sz val="11"/>
      <color theme="1" tint="0.14999847407452621"/>
      <name val="Arial"/>
      <family val="2"/>
    </font>
    <font>
      <i/>
      <sz val="14"/>
      <name val="Calibri"/>
      <family val="2"/>
      <scheme val="minor"/>
    </font>
    <font>
      <i/>
      <sz val="12"/>
      <name val="Calibri"/>
      <family val="2"/>
      <scheme val="minor"/>
    </font>
    <font>
      <sz val="14"/>
      <name val="Calibri"/>
      <family val="2"/>
      <scheme val="minor"/>
    </font>
    <font>
      <b/>
      <sz val="10"/>
      <color rgb="FF58AB27"/>
      <name val="Arial"/>
      <family val="2"/>
    </font>
    <font>
      <sz val="7"/>
      <color rgb="FF000000"/>
      <name val="Arial"/>
      <family val="2"/>
    </font>
    <font>
      <b/>
      <vertAlign val="subscript"/>
      <sz val="10"/>
      <name val="Arial"/>
      <family val="2"/>
    </font>
    <font>
      <u/>
      <sz val="10"/>
      <name val="Arial"/>
      <family val="2"/>
    </font>
    <font>
      <vertAlign val="subscript"/>
      <sz val="11"/>
      <color theme="1" tint="0.249977111117893"/>
      <name val="Arial"/>
      <family val="2"/>
    </font>
    <font>
      <u/>
      <sz val="11"/>
      <color theme="0"/>
      <name val="Calibri"/>
      <family val="2"/>
      <scheme val="minor"/>
    </font>
    <font>
      <b/>
      <sz val="28"/>
      <color rgb="FFFFC000"/>
      <name val="Calibri"/>
      <family val="2"/>
      <scheme val="minor"/>
    </font>
    <font>
      <b/>
      <sz val="22"/>
      <color theme="0"/>
      <name val="Calibri"/>
      <family val="2"/>
      <scheme val="minor"/>
    </font>
    <font>
      <vertAlign val="superscript"/>
      <sz val="11"/>
      <name val="Arial"/>
      <family val="2"/>
    </font>
    <font>
      <sz val="20"/>
      <color theme="0"/>
      <name val="Calibri"/>
      <family val="2"/>
      <scheme val="minor"/>
    </font>
    <font>
      <b/>
      <sz val="24"/>
      <color indexed="9"/>
      <name val="Calibri"/>
      <family val="2"/>
      <scheme val="minor"/>
    </font>
    <font>
      <sz val="18"/>
      <color theme="0"/>
      <name val="Calibri"/>
      <family val="2"/>
      <scheme val="minor"/>
    </font>
    <font>
      <b/>
      <sz val="14"/>
      <name val="Calibri"/>
      <family val="2"/>
      <scheme val="minor"/>
    </font>
    <font>
      <b/>
      <u/>
      <sz val="10"/>
      <name val="Arial"/>
      <family val="2"/>
    </font>
    <font>
      <b/>
      <i/>
      <sz val="11"/>
      <color rgb="FF58AB27"/>
      <name val="Arial"/>
      <family val="2"/>
    </font>
    <font>
      <i/>
      <sz val="10"/>
      <color rgb="FF58AB27"/>
      <name val="Arial"/>
      <family val="2"/>
    </font>
    <font>
      <sz val="11"/>
      <color rgb="FFFF0000"/>
      <name val="Calibri"/>
      <family val="2"/>
      <scheme val="minor"/>
    </font>
    <font>
      <u/>
      <sz val="22"/>
      <color rgb="FFFF0000"/>
      <name val="Calibri"/>
      <family val="2"/>
      <scheme val="minor"/>
    </font>
    <font>
      <sz val="22"/>
      <color rgb="FFFF0000"/>
      <name val="Calibri"/>
      <family val="2"/>
      <scheme val="minor"/>
    </font>
    <font>
      <sz val="8"/>
      <color rgb="FFFF0000"/>
      <name val="Arial"/>
      <family val="2"/>
    </font>
    <font>
      <sz val="12"/>
      <color theme="0"/>
      <name val="Calibri"/>
      <family val="2"/>
      <scheme val="minor"/>
    </font>
    <font>
      <i/>
      <sz val="10"/>
      <color rgb="FF5F4970"/>
      <name val="Arial"/>
      <family val="2"/>
    </font>
    <font>
      <sz val="10"/>
      <color rgb="FF5F4970"/>
      <name val="Arial"/>
      <family val="2"/>
    </font>
    <font>
      <i/>
      <vertAlign val="subscript"/>
      <sz val="10"/>
      <name val="Arial"/>
      <family val="2"/>
    </font>
    <font>
      <i/>
      <sz val="10"/>
      <color rgb="FF943634"/>
      <name val="Arial"/>
      <family val="2"/>
    </font>
    <font>
      <b/>
      <i/>
      <sz val="10"/>
      <color theme="1"/>
      <name val="Arial"/>
      <family val="2"/>
    </font>
    <font>
      <b/>
      <u/>
      <sz val="16"/>
      <color rgb="FFFFA500"/>
      <name val="Calibri"/>
      <family val="2"/>
      <scheme val="minor"/>
    </font>
    <font>
      <b/>
      <sz val="16"/>
      <color rgb="FFFFA500"/>
      <name val="Calibri"/>
      <family val="2"/>
      <scheme val="minor"/>
    </font>
    <font>
      <b/>
      <sz val="10"/>
      <color rgb="FFFFA500"/>
      <name val="Arial"/>
      <family val="2"/>
    </font>
    <font>
      <sz val="10"/>
      <color rgb="FFFFA500"/>
      <name val="Arial"/>
      <family val="2"/>
    </font>
    <font>
      <b/>
      <sz val="36"/>
      <color rgb="FFFFA500"/>
      <name val="Calibri"/>
      <family val="2"/>
      <scheme val="minor"/>
    </font>
    <font>
      <b/>
      <sz val="12"/>
      <color rgb="FFFFA500"/>
      <name val="Calibri"/>
      <family val="2"/>
      <scheme val="minor"/>
    </font>
    <font>
      <vertAlign val="subscript"/>
      <sz val="8"/>
      <name val="Arial"/>
      <family val="2"/>
    </font>
    <font>
      <u/>
      <sz val="11"/>
      <color rgb="FF943634"/>
      <name val="Arial"/>
      <family val="2"/>
    </font>
    <font>
      <b/>
      <sz val="10"/>
      <color rgb="FFFFAF00"/>
      <name val="Arial"/>
      <family val="2"/>
    </font>
    <font>
      <sz val="10"/>
      <color rgb="FFFFAF00"/>
      <name val="Arial"/>
      <family val="2"/>
    </font>
    <font>
      <b/>
      <sz val="18"/>
      <color theme="0"/>
      <name val="Arial"/>
      <family val="2"/>
    </font>
    <font>
      <u/>
      <sz val="11"/>
      <color rgb="FF5F4970"/>
      <name val="Arial"/>
      <family val="2"/>
    </font>
    <font>
      <u/>
      <sz val="11"/>
      <color rgb="FF984806"/>
      <name val="Arial"/>
      <family val="2"/>
    </font>
    <font>
      <b/>
      <sz val="10"/>
      <color rgb="FF984806"/>
      <name val="Arial"/>
      <family val="2"/>
    </font>
    <font>
      <b/>
      <sz val="14"/>
      <color rgb="FFFFAF00"/>
      <name val="Calibri"/>
      <family val="2"/>
      <scheme val="minor"/>
    </font>
    <font>
      <b/>
      <sz val="11"/>
      <color rgb="FF76923C"/>
      <name val="Arial"/>
      <family val="2"/>
    </font>
    <font>
      <b/>
      <sz val="11"/>
      <color rgb="FF984806"/>
      <name val="Arial"/>
      <family val="2"/>
    </font>
    <font>
      <b/>
      <sz val="11"/>
      <color rgb="FF943634"/>
      <name val="Arial"/>
      <family val="2"/>
    </font>
    <font>
      <b/>
      <sz val="11"/>
      <color rgb="FF4A562A"/>
      <name val="Arial"/>
      <family val="2"/>
    </font>
    <font>
      <b/>
      <sz val="11"/>
      <color rgb="FF0070C0"/>
      <name val="Arial"/>
      <family val="2"/>
    </font>
    <font>
      <i/>
      <sz val="11"/>
      <color theme="1"/>
      <name val="Arial"/>
      <family val="2"/>
    </font>
    <font>
      <b/>
      <sz val="12"/>
      <name val="Calibri"/>
      <family val="2"/>
      <scheme val="minor"/>
    </font>
    <font>
      <b/>
      <sz val="11"/>
      <color rgb="FF58AB27"/>
      <name val="Arial"/>
      <family val="2"/>
    </font>
    <font>
      <b/>
      <sz val="10"/>
      <color rgb="FFFF0000"/>
      <name val="Arial"/>
      <family val="2"/>
    </font>
    <font>
      <b/>
      <sz val="11"/>
      <color rgb="FFFFA500"/>
      <name val="Calibri"/>
      <family val="2"/>
      <scheme val="minor"/>
    </font>
    <font>
      <sz val="22"/>
      <color rgb="FFFFFFFF"/>
      <name val="Arial"/>
      <family val="2"/>
    </font>
    <font>
      <sz val="24"/>
      <color rgb="FFFFFFFF"/>
      <name val="Calibri"/>
      <family val="2"/>
      <scheme val="minor"/>
    </font>
    <font>
      <sz val="20"/>
      <color rgb="FF943634"/>
      <name val="Arial"/>
      <family val="2"/>
    </font>
    <font>
      <sz val="14"/>
      <color rgb="FFFFFFFF"/>
      <name val="Arial"/>
      <family val="2"/>
    </font>
    <font>
      <vertAlign val="superscript"/>
      <sz val="11"/>
      <color theme="1"/>
      <name val="Arial"/>
      <family val="2"/>
    </font>
    <font>
      <i/>
      <sz val="10"/>
      <color theme="1"/>
      <name val="Arial"/>
      <family val="2"/>
    </font>
    <font>
      <u/>
      <sz val="11"/>
      <color rgb="FFFFFFFF"/>
      <name val="Arial"/>
      <family val="2"/>
    </font>
    <font>
      <sz val="20"/>
      <color rgb="FFFFA500"/>
      <name val="Arial"/>
      <family val="2"/>
    </font>
    <font>
      <sz val="10"/>
      <color rgb="FF0070C0"/>
      <name val="Arial"/>
      <family val="2"/>
    </font>
    <font>
      <b/>
      <sz val="11"/>
      <color rgb="FFFFA500"/>
      <name val="Arial"/>
      <family val="2"/>
    </font>
    <font>
      <sz val="10"/>
      <name val="Symbol"/>
      <family val="1"/>
      <charset val="2"/>
    </font>
    <font>
      <vertAlign val="subscript"/>
      <sz val="10"/>
      <color rgb="FFFFFFFF"/>
      <name val="Arial"/>
      <family val="2"/>
    </font>
    <font>
      <sz val="10"/>
      <color rgb="FF984806"/>
      <name val="Arial"/>
      <family val="2"/>
    </font>
    <font>
      <sz val="9"/>
      <color indexed="81"/>
      <name val="Tahoma"/>
      <family val="2"/>
    </font>
    <font>
      <b/>
      <sz val="9"/>
      <color indexed="81"/>
      <name val="Tahoma"/>
      <family val="2"/>
    </font>
    <font>
      <b/>
      <vertAlign val="subscript"/>
      <sz val="10"/>
      <color rgb="FFFFAF00"/>
      <name val="Arial"/>
      <family val="2"/>
    </font>
    <font>
      <u/>
      <sz val="12"/>
      <name val="Arial"/>
      <family val="2"/>
    </font>
    <font>
      <b/>
      <u/>
      <sz val="11"/>
      <color rgb="FF5F4970"/>
      <name val="Arial"/>
      <family val="2"/>
    </font>
    <font>
      <b/>
      <sz val="10"/>
      <color rgb="FF5F4970"/>
      <name val="Arial"/>
      <family val="2"/>
    </font>
    <font>
      <b/>
      <sz val="10"/>
      <color rgb="FF4A562A"/>
      <name val="Arial"/>
      <family val="2"/>
    </font>
    <font>
      <u/>
      <sz val="14"/>
      <name val="Calibri"/>
      <family val="2"/>
      <scheme val="minor"/>
    </font>
    <font>
      <b/>
      <sz val="12"/>
      <color theme="8" tint="-0.499984740745262"/>
      <name val="Arial"/>
      <family val="2"/>
    </font>
    <font>
      <b/>
      <sz val="12"/>
      <color rgb="FFFFA500"/>
      <name val="Arial"/>
      <family val="2"/>
    </font>
    <font>
      <b/>
      <sz val="12"/>
      <color theme="0" tint="-0.499984740745262"/>
      <name val="Arial"/>
      <family val="2"/>
    </font>
    <font>
      <sz val="12"/>
      <color rgb="FF943634"/>
      <name val="Arial"/>
      <family val="2"/>
    </font>
    <font>
      <b/>
      <sz val="14"/>
      <color rgb="FFFFA500"/>
      <name val="Calibri"/>
      <family val="2"/>
      <scheme val="minor"/>
    </font>
    <font>
      <u/>
      <sz val="10"/>
      <color theme="10"/>
      <name val="Arial"/>
      <family val="2"/>
    </font>
    <font>
      <sz val="11"/>
      <color rgb="FF984806"/>
      <name val="Arial"/>
      <family val="2"/>
    </font>
  </fonts>
  <fills count="37">
    <fill>
      <patternFill patternType="none"/>
    </fill>
    <fill>
      <patternFill patternType="gray125"/>
    </fill>
    <fill>
      <patternFill patternType="solid">
        <fgColor theme="0" tint="-4.9989318521683403E-2"/>
        <bgColor indexed="64"/>
      </patternFill>
    </fill>
    <fill>
      <patternFill patternType="solid">
        <fgColor rgb="FF76923C"/>
        <bgColor indexed="64"/>
      </patternFill>
    </fill>
    <fill>
      <patternFill patternType="solid">
        <fgColor theme="0" tint="-0.249977111117893"/>
        <bgColor indexed="64"/>
      </patternFill>
    </fill>
    <fill>
      <patternFill patternType="solid">
        <fgColor rgb="FF984806"/>
        <bgColor indexed="64"/>
      </patternFill>
    </fill>
    <fill>
      <patternFill patternType="solid">
        <fgColor rgb="FF943634"/>
        <bgColor indexed="64"/>
      </patternFill>
    </fill>
    <fill>
      <patternFill patternType="solid">
        <fgColor rgb="FFFFC000"/>
        <bgColor indexed="64"/>
      </patternFill>
    </fill>
    <fill>
      <patternFill patternType="solid">
        <fgColor rgb="FF58B527"/>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5F4970"/>
        <bgColor indexed="64"/>
      </patternFill>
    </fill>
    <fill>
      <patternFill patternType="solid">
        <fgColor rgb="FFFFFFCC"/>
        <bgColor indexed="64"/>
      </patternFill>
    </fill>
    <fill>
      <patternFill patternType="solid">
        <fgColor rgb="FFD9D9D9"/>
        <bgColor indexed="64"/>
      </patternFill>
    </fill>
    <fill>
      <patternFill patternType="solid">
        <fgColor rgb="FF0070C0"/>
        <bgColor indexed="64"/>
      </patternFill>
    </fill>
    <fill>
      <patternFill patternType="solid">
        <fgColor rgb="FF0070C0"/>
        <bgColor indexed="22"/>
      </patternFill>
    </fill>
    <fill>
      <patternFill patternType="solid">
        <fgColor theme="7" tint="0.59999389629810485"/>
        <bgColor indexed="64"/>
      </patternFill>
    </fill>
    <fill>
      <patternFill patternType="solid">
        <fgColor rgb="FFF2F2F2"/>
        <bgColor indexed="64"/>
      </patternFill>
    </fill>
    <fill>
      <patternFill patternType="solid">
        <fgColor theme="5" tint="0.59999389629810485"/>
        <bgColor indexed="64"/>
      </patternFill>
    </fill>
    <fill>
      <patternFill patternType="solid">
        <fgColor rgb="FF58AB2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7F7F7F"/>
        <bgColor indexed="64"/>
      </patternFill>
    </fill>
    <fill>
      <patternFill patternType="solid">
        <fgColor rgb="FF5F497A"/>
        <bgColor indexed="64"/>
      </patternFill>
    </fill>
    <fill>
      <patternFill patternType="solid">
        <fgColor theme="5" tint="0.79998168889431442"/>
        <bgColor indexed="64"/>
      </patternFill>
    </fill>
    <fill>
      <patternFill patternType="solid">
        <fgColor rgb="FF4A442A"/>
        <bgColor indexed="64"/>
      </patternFill>
    </fill>
    <fill>
      <patternFill patternType="solid">
        <fgColor rgb="FF4A562A"/>
        <bgColor indexed="64"/>
      </patternFill>
    </fill>
    <fill>
      <patternFill patternType="solid">
        <fgColor rgb="FFBFBFBF"/>
        <bgColor indexed="64"/>
      </patternFill>
    </fill>
    <fill>
      <patternFill patternType="solid">
        <fgColor theme="0" tint="-0.14996795556505021"/>
        <bgColor indexed="64"/>
      </patternFill>
    </fill>
    <fill>
      <patternFill patternType="solid">
        <fgColor rgb="FFFFAF00"/>
        <bgColor indexed="64"/>
      </patternFill>
    </fill>
    <fill>
      <patternFill patternType="solid">
        <fgColor rgb="FFFFA50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59999389629810485"/>
        <bgColor indexed="64"/>
      </patternFill>
    </fill>
  </fills>
  <borders count="160">
    <border>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rgb="FF92D050"/>
      </right>
      <top/>
      <bottom style="thin">
        <color theme="0" tint="-0.499984740745262"/>
      </bottom>
      <diagonal/>
    </border>
    <border>
      <left style="thin">
        <color theme="0"/>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thin">
        <color theme="0"/>
      </right>
      <top/>
      <bottom/>
      <diagonal/>
    </border>
    <border>
      <left/>
      <right/>
      <top style="thin">
        <color theme="0" tint="-0.34998626667073579"/>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1" tint="0.499984740745262"/>
      </left>
      <right/>
      <top style="thin">
        <color theme="1" tint="0.499984740745262"/>
      </top>
      <bottom style="thin">
        <color theme="0"/>
      </bottom>
      <diagonal/>
    </border>
    <border>
      <left/>
      <right/>
      <top style="thin">
        <color theme="1" tint="0.499984740745262"/>
      </top>
      <bottom style="thin">
        <color theme="0"/>
      </bottom>
      <diagonal/>
    </border>
    <border>
      <left/>
      <right style="thin">
        <color theme="1" tint="0.499984740745262"/>
      </right>
      <top style="thin">
        <color theme="1" tint="0.499984740745262"/>
      </top>
      <bottom style="thin">
        <color theme="0"/>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left>
      <right/>
      <top style="thin">
        <color theme="0"/>
      </top>
      <bottom style="thin">
        <color theme="0" tint="-4.9989318521683403E-2"/>
      </bottom>
      <diagonal/>
    </border>
    <border>
      <left/>
      <right style="thin">
        <color theme="0"/>
      </right>
      <top style="thin">
        <color theme="0"/>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rgb="FF000000"/>
      </left>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style="medium">
        <color rgb="FFFFFFFF"/>
      </right>
      <top/>
      <bottom style="medium">
        <color rgb="FFFFFFFF"/>
      </bottom>
      <diagonal/>
    </border>
    <border>
      <left/>
      <right style="thin">
        <color rgb="FF000000"/>
      </right>
      <top/>
      <bottom style="medium">
        <color rgb="FFFFFFFF"/>
      </bottom>
      <diagonal/>
    </border>
    <border>
      <left style="thin">
        <color rgb="FF000000"/>
      </left>
      <right style="medium">
        <color rgb="FFFFFFFF"/>
      </right>
      <top/>
      <bottom style="thin">
        <color rgb="FF000000"/>
      </bottom>
      <diagonal/>
    </border>
    <border>
      <left/>
      <right style="thin">
        <color rgb="FF000000"/>
      </right>
      <top/>
      <bottom style="thin">
        <color rgb="FF000000"/>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diagonal/>
    </border>
    <border>
      <left/>
      <right style="medium">
        <color rgb="FFFFFFFF"/>
      </right>
      <top/>
      <bottom style="medium">
        <color rgb="FFFFFFFF"/>
      </bottom>
      <diagonal/>
    </border>
    <border>
      <left/>
      <right/>
      <top style="medium">
        <color rgb="FFFFFFFF"/>
      </top>
      <bottom/>
      <diagonal/>
    </border>
    <border>
      <left style="medium">
        <color rgb="FFFFFFFF"/>
      </left>
      <right/>
      <top style="medium">
        <color rgb="FFFFFFFF"/>
      </top>
      <bottom/>
      <diagonal/>
    </border>
    <border>
      <left style="medium">
        <color rgb="FFFFFFFF"/>
      </left>
      <right/>
      <top/>
      <bottom/>
      <diagonal/>
    </border>
    <border>
      <left style="thin">
        <color theme="1" tint="0.499984740745262"/>
      </left>
      <right style="thin">
        <color theme="0"/>
      </right>
      <top style="thin">
        <color theme="1" tint="0.499984740745262"/>
      </top>
      <bottom/>
      <diagonal/>
    </border>
    <border>
      <left style="thin">
        <color theme="1" tint="0.499984740745262"/>
      </left>
      <right style="thin">
        <color theme="0"/>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diagonal/>
    </border>
    <border>
      <left/>
      <right style="thin">
        <color theme="0" tint="-0.499984740745262"/>
      </right>
      <top style="thin">
        <color theme="0" tint="-0.499984740745262"/>
      </top>
      <bottom style="thin">
        <color theme="0" tint="-0.499984740745262"/>
      </bottom>
      <diagonal/>
    </border>
    <border>
      <left/>
      <right style="thin">
        <color theme="0" tint="-4.9989318521683403E-2"/>
      </right>
      <top style="thin">
        <color theme="0"/>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1" tint="0.499984740745262"/>
      </right>
      <top style="thin">
        <color theme="0" tint="-0.499984740745262"/>
      </top>
      <bottom style="thin">
        <color theme="1" tint="0.499984740745262"/>
      </bottom>
      <diagonal/>
    </border>
    <border>
      <left style="thin">
        <color theme="1" tint="0.499984740745262"/>
      </left>
      <right style="thin">
        <color theme="0"/>
      </right>
      <top/>
      <bottom/>
      <diagonal/>
    </border>
    <border>
      <left/>
      <right/>
      <top style="thin">
        <color theme="0"/>
      </top>
      <bottom style="thin">
        <color theme="0" tint="-4.9989318521683403E-2"/>
      </bottom>
      <diagonal/>
    </border>
    <border>
      <left style="thin">
        <color theme="0"/>
      </left>
      <right/>
      <top style="thin">
        <color theme="0" tint="-4.9989318521683403E-2"/>
      </top>
      <bottom style="thin">
        <color theme="0" tint="-4.9989318521683403E-2"/>
      </bottom>
      <diagonal/>
    </border>
    <border>
      <left/>
      <right style="thin">
        <color theme="0"/>
      </right>
      <top style="thin">
        <color theme="0" tint="-4.9989318521683403E-2"/>
      </top>
      <bottom style="thin">
        <color theme="0" tint="-4.9989318521683403E-2"/>
      </bottom>
      <diagonal/>
    </border>
    <border>
      <left style="thin">
        <color theme="0"/>
      </left>
      <right/>
      <top style="thin">
        <color theme="0" tint="-4.9989318521683403E-2"/>
      </top>
      <bottom/>
      <diagonal/>
    </border>
    <border>
      <left/>
      <right/>
      <top style="thin">
        <color theme="0" tint="-4.9989318521683403E-2"/>
      </top>
      <bottom/>
      <diagonal/>
    </border>
    <border>
      <left/>
      <right style="thin">
        <color theme="0"/>
      </right>
      <top style="thin">
        <color theme="0" tint="-4.9989318521683403E-2"/>
      </top>
      <bottom/>
      <diagonal/>
    </border>
    <border>
      <left style="thin">
        <color theme="0" tint="-4.9989318521683403E-2"/>
      </left>
      <right/>
      <top style="thin">
        <color theme="0" tint="-4.9989318521683403E-2"/>
      </top>
      <bottom style="thin">
        <color theme="0"/>
      </bottom>
      <diagonal/>
    </border>
    <border>
      <left/>
      <right/>
      <top style="thin">
        <color theme="0" tint="-4.9989318521683403E-2"/>
      </top>
      <bottom style="thin">
        <color theme="0"/>
      </bottom>
      <diagonal/>
    </border>
    <border>
      <left/>
      <right style="thin">
        <color theme="0" tint="-4.9989318521683403E-2"/>
      </right>
      <top style="thin">
        <color theme="0" tint="-4.9989318521683403E-2"/>
      </top>
      <bottom style="thin">
        <color theme="0"/>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right/>
      <top style="medium">
        <color rgb="FFFFFFFF"/>
      </top>
      <bottom style="medium">
        <color rgb="FFFFFFFF"/>
      </bottom>
      <diagonal/>
    </border>
    <border>
      <left/>
      <right style="thin">
        <color theme="0"/>
      </right>
      <top style="medium">
        <color rgb="FFFFFFFF"/>
      </top>
      <bottom/>
      <diagonal/>
    </border>
    <border>
      <left/>
      <right/>
      <top style="medium">
        <color rgb="FFFFFFFF"/>
      </top>
      <bottom style="thin">
        <color theme="0"/>
      </bottom>
      <diagonal/>
    </border>
    <border>
      <left/>
      <right style="medium">
        <color rgb="FFFFFFFF"/>
      </right>
      <top style="medium">
        <color rgb="FFFFFFFF"/>
      </top>
      <bottom style="thin">
        <color theme="0"/>
      </bottom>
      <diagonal/>
    </border>
    <border>
      <left style="medium">
        <color rgb="FFFFFFFF"/>
      </left>
      <right/>
      <top style="thin">
        <color theme="0"/>
      </top>
      <bottom/>
      <diagonal/>
    </border>
    <border>
      <left style="medium">
        <color rgb="FFFFFFFF"/>
      </left>
      <right/>
      <top style="thin">
        <color theme="0"/>
      </top>
      <bottom style="thin">
        <color theme="0"/>
      </bottom>
      <diagonal/>
    </border>
    <border>
      <left/>
      <right style="medium">
        <color rgb="FFFFFFFF"/>
      </right>
      <top style="thin">
        <color theme="0"/>
      </top>
      <bottom style="thin">
        <color theme="0"/>
      </bottom>
      <diagonal/>
    </border>
    <border>
      <left/>
      <right style="medium">
        <color rgb="FFFFFFFF"/>
      </right>
      <top style="thin">
        <color theme="0"/>
      </top>
      <bottom/>
      <diagonal/>
    </border>
    <border>
      <left style="medium">
        <color rgb="FFFFFFFF"/>
      </left>
      <right/>
      <top/>
      <bottom style="thin">
        <color theme="0"/>
      </bottom>
      <diagonal/>
    </border>
    <border>
      <left/>
      <right style="medium">
        <color rgb="FFFFFFFF"/>
      </right>
      <top/>
      <bottom style="thin">
        <color theme="0"/>
      </bottom>
      <diagonal/>
    </border>
    <border>
      <left style="thin">
        <color theme="0"/>
      </left>
      <right/>
      <top/>
      <bottom style="medium">
        <color rgb="FFFFFFFF"/>
      </bottom>
      <diagonal/>
    </border>
    <border>
      <left style="thin">
        <color theme="0"/>
      </left>
      <right/>
      <top style="medium">
        <color rgb="FFFFFFFF"/>
      </top>
      <bottom style="thin">
        <color theme="0"/>
      </bottom>
      <diagonal/>
    </border>
    <border>
      <left/>
      <right style="medium">
        <color theme="0" tint="-4.9989318521683403E-2"/>
      </right>
      <top style="medium">
        <color rgb="FFFFFFFF"/>
      </top>
      <bottom style="thin">
        <color theme="0"/>
      </bottom>
      <diagonal/>
    </border>
    <border>
      <left style="medium">
        <color theme="0" tint="-4.9989318521683403E-2"/>
      </left>
      <right/>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1" tint="0.499984740745262"/>
      </top>
      <bottom style="thin">
        <color theme="0" tint="-0.499984740745262"/>
      </bottom>
      <diagonal/>
    </border>
    <border>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499984740745262"/>
      </left>
      <right/>
      <top style="thin">
        <color theme="0" tint="-0.499984740745262"/>
      </top>
      <bottom/>
      <diagonal/>
    </border>
    <border>
      <left style="thin">
        <color theme="0"/>
      </left>
      <right/>
      <top/>
      <bottom style="thin">
        <color theme="0" tint="-4.9989318521683403E-2"/>
      </bottom>
      <diagonal/>
    </border>
    <border>
      <left/>
      <right style="thin">
        <color theme="0"/>
      </right>
      <top/>
      <bottom style="thin">
        <color theme="0" tint="-4.9989318521683403E-2"/>
      </bottom>
      <diagonal/>
    </border>
    <border>
      <left style="thin">
        <color theme="0"/>
      </left>
      <right/>
      <top style="thin">
        <color theme="0" tint="-4.9989318521683403E-2"/>
      </top>
      <bottom style="thin">
        <color theme="0"/>
      </bottom>
      <diagonal/>
    </border>
    <border>
      <left/>
      <right style="thin">
        <color theme="0"/>
      </right>
      <top style="thin">
        <color theme="0" tint="-4.9989318521683403E-2"/>
      </top>
      <bottom style="thin">
        <color theme="0"/>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C000"/>
      </left>
      <right/>
      <top/>
      <bottom/>
      <diagonal/>
    </border>
    <border>
      <left/>
      <right style="thin">
        <color rgb="FFFFC000"/>
      </right>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top style="thin">
        <color theme="0"/>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s>
  <cellStyleXfs count="8">
    <xf numFmtId="0" fontId="0" fillId="0" borderId="0"/>
    <xf numFmtId="9" fontId="1" fillId="0" borderId="0" applyFont="0" applyFill="0" applyBorder="0" applyAlignment="0" applyProtection="0"/>
    <xf numFmtId="0" fontId="2" fillId="0" borderId="0"/>
    <xf numFmtId="0" fontId="26" fillId="0" borderId="0" applyNumberFormat="0" applyFill="0" applyBorder="0" applyAlignment="0" applyProtection="0"/>
    <xf numFmtId="0" fontId="34" fillId="0" borderId="0"/>
    <xf numFmtId="0" fontId="50" fillId="0" borderId="0" applyNumberFormat="0" applyFill="0" applyBorder="0" applyAlignment="0" applyProtection="0">
      <alignment vertical="top"/>
      <protection locked="0"/>
    </xf>
    <xf numFmtId="0" fontId="2" fillId="0" borderId="0"/>
    <xf numFmtId="164" fontId="1" fillId="0" borderId="0" applyFont="0" applyFill="0" applyBorder="0" applyAlignment="0" applyProtection="0"/>
  </cellStyleXfs>
  <cellXfs count="2601">
    <xf numFmtId="0" fontId="0" fillId="0" borderId="0" xfId="0"/>
    <xf numFmtId="0" fontId="2" fillId="2" borderId="0" xfId="2" applyFont="1" applyFill="1"/>
    <xf numFmtId="0" fontId="3" fillId="2" borderId="0" xfId="2" applyFont="1" applyFill="1" applyAlignment="1">
      <alignment horizontal="center"/>
    </xf>
    <xf numFmtId="0" fontId="7" fillId="2" borderId="0" xfId="2" applyFont="1" applyFill="1" applyAlignment="1">
      <alignment horizontal="left" vertical="center" wrapText="1"/>
    </xf>
    <xf numFmtId="0" fontId="2" fillId="2" borderId="0" xfId="2" applyFill="1" applyBorder="1"/>
    <xf numFmtId="0" fontId="2" fillId="2" borderId="0" xfId="2" applyFill="1"/>
    <xf numFmtId="0" fontId="13" fillId="8" borderId="0" xfId="0"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6" fillId="9" borderId="4" xfId="2" applyFont="1" applyFill="1" applyBorder="1" applyAlignment="1" applyProtection="1">
      <alignment horizontal="center" vertical="center" wrapText="1"/>
      <protection hidden="1"/>
    </xf>
    <xf numFmtId="0" fontId="0" fillId="2" borderId="0" xfId="0" applyFill="1"/>
    <xf numFmtId="0" fontId="0" fillId="11" borderId="0" xfId="0" applyFill="1"/>
    <xf numFmtId="0" fontId="18" fillId="0" borderId="0" xfId="0" applyFont="1"/>
    <xf numFmtId="0" fontId="2" fillId="11" borderId="0" xfId="2" applyFont="1" applyFill="1" applyBorder="1"/>
    <xf numFmtId="0" fontId="2" fillId="11" borderId="0" xfId="2" applyFont="1" applyFill="1"/>
    <xf numFmtId="0" fontId="18" fillId="11" borderId="0" xfId="0" applyFont="1" applyFill="1"/>
    <xf numFmtId="0" fontId="18" fillId="11" borderId="0" xfId="0" applyFont="1" applyFill="1" applyBorder="1"/>
    <xf numFmtId="0" fontId="14" fillId="11" borderId="0" xfId="0" applyFont="1" applyFill="1" applyBorder="1"/>
    <xf numFmtId="0" fontId="21" fillId="11" borderId="0" xfId="0" applyFont="1" applyFill="1" applyBorder="1" applyAlignment="1">
      <alignment horizontal="left"/>
    </xf>
    <xf numFmtId="0" fontId="23" fillId="12" borderId="0" xfId="2" applyFont="1" applyFill="1" applyAlignment="1" applyProtection="1">
      <alignment wrapText="1"/>
      <protection hidden="1"/>
    </xf>
    <xf numFmtId="0" fontId="2" fillId="12" borderId="0" xfId="2" applyFill="1" applyAlignment="1" applyProtection="1">
      <alignment wrapText="1"/>
      <protection hidden="1"/>
    </xf>
    <xf numFmtId="0" fontId="24" fillId="11" borderId="0" xfId="0" applyFont="1" applyFill="1" applyAlignment="1" applyProtection="1">
      <alignment vertical="center"/>
      <protection hidden="1"/>
    </xf>
    <xf numFmtId="0" fontId="25" fillId="11" borderId="0" xfId="0" applyFont="1" applyFill="1" applyAlignment="1" applyProtection="1">
      <alignment vertical="center"/>
      <protection hidden="1"/>
    </xf>
    <xf numFmtId="0" fontId="23" fillId="12" borderId="0" xfId="2" applyFont="1" applyFill="1" applyBorder="1" applyAlignment="1" applyProtection="1">
      <alignment wrapText="1"/>
      <protection hidden="1"/>
    </xf>
    <xf numFmtId="0" fontId="23" fillId="12" borderId="0" xfId="2" applyFont="1" applyFill="1" applyBorder="1" applyAlignment="1" applyProtection="1">
      <alignment horizontal="left" vertical="center" wrapText="1"/>
      <protection hidden="1"/>
    </xf>
    <xf numFmtId="0" fontId="2" fillId="12" borderId="0" xfId="2" applyFill="1" applyAlignment="1" applyProtection="1">
      <alignment vertical="center" wrapText="1"/>
      <protection hidden="1"/>
    </xf>
    <xf numFmtId="0" fontId="0" fillId="0" borderId="0" xfId="0" applyAlignment="1"/>
    <xf numFmtId="0" fontId="32" fillId="15" borderId="15" xfId="0" applyFont="1" applyFill="1" applyBorder="1" applyAlignment="1">
      <alignment horizontal="center" vertical="center" wrapText="1"/>
    </xf>
    <xf numFmtId="0" fontId="32"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23" fillId="12" borderId="0" xfId="2" applyFont="1" applyFill="1" applyAlignment="1" applyProtection="1">
      <alignment horizontal="center" vertical="center" wrapText="1"/>
      <protection hidden="1"/>
    </xf>
    <xf numFmtId="0" fontId="10" fillId="16" borderId="0" xfId="0" applyFont="1" applyFill="1" applyBorder="1" applyAlignment="1" applyProtection="1">
      <alignment vertical="center"/>
      <protection hidden="1"/>
    </xf>
    <xf numFmtId="0" fontId="21" fillId="0" borderId="1" xfId="2" applyFont="1" applyFill="1" applyBorder="1" applyAlignment="1">
      <alignment horizontal="center" vertical="center"/>
    </xf>
    <xf numFmtId="0" fontId="0" fillId="11" borderId="0" xfId="0" applyFill="1" applyProtection="1">
      <protection hidden="1"/>
    </xf>
    <xf numFmtId="0" fontId="0" fillId="0" borderId="0" xfId="0" applyProtection="1">
      <protection hidden="1"/>
    </xf>
    <xf numFmtId="0" fontId="0" fillId="11" borderId="0" xfId="0" applyFill="1" applyAlignment="1" applyProtection="1">
      <alignment vertical="top" wrapText="1"/>
      <protection hidden="1"/>
    </xf>
    <xf numFmtId="0" fontId="41" fillId="11" borderId="0" xfId="0" applyFont="1" applyFill="1" applyProtection="1">
      <protection hidden="1"/>
    </xf>
    <xf numFmtId="0" fontId="0" fillId="11" borderId="0" xfId="0" applyFill="1" applyAlignment="1" applyProtection="1">
      <alignment horizontal="left" vertical="top" wrapText="1"/>
      <protection hidden="1"/>
    </xf>
    <xf numFmtId="0" fontId="0" fillId="19" borderId="0" xfId="0" applyFill="1" applyProtection="1">
      <protection hidden="1"/>
    </xf>
    <xf numFmtId="0" fontId="2" fillId="6" borderId="0" xfId="2" applyFont="1" applyFill="1"/>
    <xf numFmtId="0" fontId="11" fillId="13" borderId="0" xfId="2" applyFont="1" applyFill="1"/>
    <xf numFmtId="0" fontId="11" fillId="3" borderId="0" xfId="2" applyFont="1" applyFill="1"/>
    <xf numFmtId="0" fontId="10" fillId="6" borderId="0" xfId="0" applyFont="1" applyFill="1" applyBorder="1" applyAlignment="1" applyProtection="1">
      <alignment vertical="center"/>
      <protection hidden="1"/>
    </xf>
    <xf numFmtId="0" fontId="13" fillId="6" borderId="0" xfId="0" applyFont="1" applyFill="1" applyBorder="1" applyAlignment="1" applyProtection="1">
      <alignment horizontal="center" vertical="center"/>
      <protection hidden="1"/>
    </xf>
    <xf numFmtId="0" fontId="2" fillId="6" borderId="0" xfId="2" applyFill="1" applyProtection="1">
      <protection hidden="1"/>
    </xf>
    <xf numFmtId="0" fontId="2" fillId="2" borderId="0" xfId="2" applyFill="1" applyProtection="1">
      <protection hidden="1"/>
    </xf>
    <xf numFmtId="0" fontId="2" fillId="2" borderId="0" xfId="2" applyFill="1" applyBorder="1" applyProtection="1">
      <protection hidden="1"/>
    </xf>
    <xf numFmtId="0" fontId="19" fillId="6" borderId="27" xfId="2" applyFont="1" applyFill="1" applyBorder="1" applyAlignment="1" applyProtection="1">
      <alignment horizontal="center" vertical="center" wrapText="1"/>
      <protection hidden="1"/>
    </xf>
    <xf numFmtId="0" fontId="2" fillId="6" borderId="0" xfId="2" applyFill="1" applyBorder="1" applyProtection="1">
      <protection hidden="1"/>
    </xf>
    <xf numFmtId="0" fontId="38" fillId="8" borderId="0" xfId="0" applyFont="1" applyFill="1" applyBorder="1" applyAlignment="1" applyProtection="1">
      <alignment vertical="center"/>
      <protection hidden="1"/>
    </xf>
    <xf numFmtId="0" fontId="21" fillId="11" borderId="1" xfId="2" applyFont="1" applyFill="1" applyBorder="1" applyAlignment="1" applyProtection="1">
      <alignment horizontal="center" vertical="center"/>
      <protection hidden="1"/>
    </xf>
    <xf numFmtId="0" fontId="19" fillId="3" borderId="27" xfId="2" applyFont="1" applyFill="1" applyBorder="1" applyAlignment="1" applyProtection="1">
      <alignment horizontal="center" vertical="center" wrapText="1"/>
      <protection hidden="1"/>
    </xf>
    <xf numFmtId="0" fontId="0" fillId="11" borderId="0" xfId="0" applyFill="1" applyAlignment="1" applyProtection="1">
      <alignment horizontal="left" vertical="top" wrapText="1"/>
      <protection hidden="1"/>
    </xf>
    <xf numFmtId="0" fontId="19" fillId="5" borderId="27" xfId="2" applyFont="1" applyFill="1" applyBorder="1" applyAlignment="1" applyProtection="1">
      <alignment horizontal="center" vertical="center" wrapText="1"/>
      <protection hidden="1"/>
    </xf>
    <xf numFmtId="0" fontId="0" fillId="0" borderId="0" xfId="0" applyProtection="1">
      <protection locked="0" hidden="1"/>
    </xf>
    <xf numFmtId="0" fontId="2" fillId="4" borderId="4" xfId="2" applyFont="1" applyFill="1" applyBorder="1" applyAlignment="1" applyProtection="1">
      <alignment horizontal="center" vertical="center" wrapText="1"/>
      <protection hidden="1"/>
    </xf>
    <xf numFmtId="0" fontId="38" fillId="16" borderId="0" xfId="0" applyFont="1" applyFill="1" applyBorder="1" applyAlignment="1" applyProtection="1">
      <alignment vertical="center"/>
      <protection hidden="1"/>
    </xf>
    <xf numFmtId="0" fontId="19" fillId="16" borderId="27" xfId="2" applyFont="1" applyFill="1" applyBorder="1" applyAlignment="1" applyProtection="1">
      <alignment horizontal="center" vertical="center" wrapText="1"/>
      <protection hidden="1"/>
    </xf>
    <xf numFmtId="0" fontId="2" fillId="2" borderId="0" xfId="2" applyFill="1" applyBorder="1" applyAlignment="1" applyProtection="1">
      <protection hidden="1"/>
    </xf>
    <xf numFmtId="0" fontId="21" fillId="2" borderId="0" xfId="2" applyFont="1" applyFill="1" applyBorder="1" applyAlignment="1" applyProtection="1">
      <alignment horizontal="left" vertical="center" indent="1"/>
      <protection hidden="1"/>
    </xf>
    <xf numFmtId="0" fontId="21" fillId="9" borderId="4" xfId="4" applyNumberFormat="1" applyFont="1" applyFill="1" applyBorder="1" applyAlignment="1" applyProtection="1">
      <alignment horizontal="center" vertical="center"/>
      <protection hidden="1"/>
    </xf>
    <xf numFmtId="165" fontId="6" fillId="9" borderId="4" xfId="1" applyNumberFormat="1" applyFont="1" applyFill="1" applyBorder="1" applyAlignment="1" applyProtection="1">
      <alignment horizontal="center" vertical="center"/>
      <protection hidden="1"/>
    </xf>
    <xf numFmtId="0" fontId="21" fillId="0" borderId="2" xfId="2" applyFont="1" applyFill="1" applyBorder="1" applyAlignment="1" applyProtection="1">
      <alignment horizontal="center" vertical="center"/>
      <protection hidden="1"/>
    </xf>
    <xf numFmtId="0" fontId="14" fillId="4" borderId="4" xfId="0" applyFont="1" applyFill="1" applyBorder="1" applyAlignment="1" applyProtection="1">
      <alignment horizontal="left" indent="1"/>
      <protection hidden="1"/>
    </xf>
    <xf numFmtId="165" fontId="8" fillId="9" borderId="4" xfId="1" applyNumberFormat="1" applyFont="1" applyFill="1" applyBorder="1" applyAlignment="1" applyProtection="1">
      <alignment horizontal="center" vertical="center" wrapText="1"/>
      <protection hidden="1"/>
    </xf>
    <xf numFmtId="0" fontId="11" fillId="16" borderId="4" xfId="0" applyFont="1" applyFill="1" applyBorder="1" applyAlignment="1" applyProtection="1">
      <alignment vertical="center"/>
      <protection hidden="1"/>
    </xf>
    <xf numFmtId="0" fontId="2" fillId="2" borderId="0" xfId="2" applyFill="1" applyAlignment="1" applyProtection="1">
      <alignment horizontal="center"/>
      <protection hidden="1"/>
    </xf>
    <xf numFmtId="10" fontId="8" fillId="9" borderId="4" xfId="1" applyNumberFormat="1" applyFont="1" applyFill="1" applyBorder="1" applyAlignment="1" applyProtection="1">
      <alignment horizontal="center" vertical="center" wrapText="1"/>
      <protection hidden="1"/>
    </xf>
    <xf numFmtId="0" fontId="0" fillId="0" borderId="0" xfId="0" applyProtection="1">
      <protection locked="0"/>
    </xf>
    <xf numFmtId="0" fontId="21" fillId="2" borderId="0" xfId="2" applyFont="1" applyFill="1" applyBorder="1" applyAlignment="1" applyProtection="1">
      <alignment horizontal="center" vertical="center"/>
      <protection hidden="1"/>
    </xf>
    <xf numFmtId="0" fontId="5" fillId="16" borderId="0" xfId="2" applyFont="1" applyFill="1" applyAlignment="1">
      <alignment horizontal="left" vertical="center" wrapText="1" indent="11"/>
    </xf>
    <xf numFmtId="0" fontId="19" fillId="21" borderId="27" xfId="2" applyFont="1" applyFill="1" applyBorder="1" applyAlignment="1" applyProtection="1">
      <alignment horizontal="center" vertical="center" wrapText="1"/>
      <protection hidden="1"/>
    </xf>
    <xf numFmtId="0" fontId="38" fillId="21" borderId="0" xfId="0" applyFont="1" applyFill="1" applyBorder="1" applyAlignment="1" applyProtection="1">
      <alignment vertical="center"/>
      <protection hidden="1"/>
    </xf>
    <xf numFmtId="0" fontId="8" fillId="10" borderId="4" xfId="0" applyFont="1" applyFill="1" applyBorder="1" applyAlignment="1" applyProtection="1">
      <alignment horizontal="center" vertical="center"/>
      <protection hidden="1"/>
    </xf>
    <xf numFmtId="0" fontId="5" fillId="16" borderId="3" xfId="0" applyFont="1" applyFill="1" applyBorder="1" applyAlignment="1" applyProtection="1">
      <alignment vertical="center"/>
      <protection hidden="1"/>
    </xf>
    <xf numFmtId="0" fontId="5" fillId="16" borderId="28" xfId="0" applyFont="1" applyFill="1" applyBorder="1" applyAlignment="1" applyProtection="1">
      <alignment horizontal="center" vertical="center"/>
      <protection hidden="1"/>
    </xf>
    <xf numFmtId="0" fontId="5" fillId="16" borderId="32" xfId="0" applyFont="1" applyFill="1" applyBorder="1" applyAlignment="1" applyProtection="1">
      <alignment horizontal="left" vertical="center" indent="1"/>
      <protection hidden="1"/>
    </xf>
    <xf numFmtId="0" fontId="5" fillId="21" borderId="0" xfId="2" applyFont="1" applyFill="1" applyAlignment="1">
      <alignment horizontal="left" vertical="center" wrapText="1" indent="11"/>
    </xf>
    <xf numFmtId="0" fontId="5" fillId="21" borderId="28" xfId="0" applyFont="1" applyFill="1" applyBorder="1" applyAlignment="1" applyProtection="1">
      <alignment horizontal="center" vertical="center"/>
      <protection hidden="1"/>
    </xf>
    <xf numFmtId="0" fontId="5" fillId="16" borderId="0" xfId="2" applyFont="1" applyFill="1" applyAlignment="1">
      <alignment vertical="top" wrapText="1"/>
    </xf>
    <xf numFmtId="0" fontId="5" fillId="13" borderId="0" xfId="2" applyFont="1" applyFill="1" applyAlignment="1">
      <alignment horizontal="left" vertical="center" wrapText="1" indent="11"/>
    </xf>
    <xf numFmtId="0" fontId="5" fillId="13" borderId="0" xfId="2" applyFont="1" applyFill="1" applyAlignment="1">
      <alignment vertical="top" wrapText="1"/>
    </xf>
    <xf numFmtId="0" fontId="5" fillId="13" borderId="3" xfId="0" applyFont="1" applyFill="1" applyBorder="1" applyAlignment="1" applyProtection="1">
      <alignment vertical="center"/>
      <protection hidden="1"/>
    </xf>
    <xf numFmtId="0" fontId="5" fillId="13" borderId="28" xfId="0" applyFont="1" applyFill="1" applyBorder="1" applyAlignment="1" applyProtection="1">
      <alignment horizontal="center" vertical="center"/>
      <protection hidden="1"/>
    </xf>
    <xf numFmtId="0" fontId="5" fillId="13" borderId="32" xfId="0" applyFont="1" applyFill="1" applyBorder="1" applyAlignment="1" applyProtection="1">
      <alignment horizontal="left" vertical="center" indent="1"/>
      <protection hidden="1"/>
    </xf>
    <xf numFmtId="0" fontId="5" fillId="6" borderId="32" xfId="0" applyFont="1" applyFill="1" applyBorder="1" applyAlignment="1" applyProtection="1">
      <alignment horizontal="left" vertical="center" indent="1"/>
      <protection hidden="1"/>
    </xf>
    <xf numFmtId="0" fontId="5" fillId="6" borderId="3" xfId="0" applyFont="1" applyFill="1" applyBorder="1" applyAlignment="1" applyProtection="1">
      <alignment vertical="center"/>
      <protection hidden="1"/>
    </xf>
    <xf numFmtId="0" fontId="5" fillId="6" borderId="28" xfId="0" applyFont="1" applyFill="1" applyBorder="1" applyAlignment="1" applyProtection="1">
      <alignment horizontal="center" vertical="center"/>
      <protection hidden="1"/>
    </xf>
    <xf numFmtId="0" fontId="5" fillId="3" borderId="0" xfId="2" applyFont="1" applyFill="1" applyAlignment="1">
      <alignment horizontal="left" vertical="center" wrapText="1" indent="11"/>
    </xf>
    <xf numFmtId="0" fontId="5" fillId="3" borderId="32" xfId="0" applyFont="1" applyFill="1" applyBorder="1" applyAlignment="1" applyProtection="1">
      <alignment horizontal="left" vertical="center" indent="1"/>
      <protection hidden="1"/>
    </xf>
    <xf numFmtId="0" fontId="5" fillId="3" borderId="3" xfId="0" applyFont="1" applyFill="1" applyBorder="1" applyAlignment="1" applyProtection="1">
      <alignment vertical="center"/>
      <protection hidden="1"/>
    </xf>
    <xf numFmtId="0" fontId="5" fillId="3" borderId="28" xfId="0" applyFont="1" applyFill="1" applyBorder="1" applyAlignment="1" applyProtection="1">
      <alignment horizontal="center" vertical="center"/>
      <protection hidden="1"/>
    </xf>
    <xf numFmtId="0" fontId="5" fillId="5" borderId="3" xfId="0" applyFont="1" applyFill="1" applyBorder="1" applyAlignment="1" applyProtection="1">
      <alignment vertical="center"/>
      <protection hidden="1"/>
    </xf>
    <xf numFmtId="0" fontId="5" fillId="5" borderId="28" xfId="0" applyFont="1" applyFill="1" applyBorder="1" applyAlignment="1" applyProtection="1">
      <alignment horizontal="center" vertical="center"/>
      <protection hidden="1"/>
    </xf>
    <xf numFmtId="0" fontId="5" fillId="5" borderId="32" xfId="0" applyFont="1" applyFill="1" applyBorder="1" applyAlignment="1" applyProtection="1">
      <alignment horizontal="left" vertical="center" indent="1"/>
      <protection hidden="1"/>
    </xf>
    <xf numFmtId="0" fontId="9" fillId="16" borderId="0" xfId="0" applyFont="1" applyFill="1" applyBorder="1" applyAlignment="1" applyProtection="1">
      <alignment horizontal="left" vertical="center"/>
      <protection hidden="1"/>
    </xf>
    <xf numFmtId="0" fontId="5" fillId="7" borderId="32" xfId="0" applyFont="1" applyFill="1" applyBorder="1" applyAlignment="1" applyProtection="1">
      <alignment horizontal="left" vertical="center" indent="1"/>
      <protection hidden="1"/>
    </xf>
    <xf numFmtId="0" fontId="5" fillId="7" borderId="3" xfId="0" applyFont="1" applyFill="1" applyBorder="1" applyAlignment="1" applyProtection="1">
      <alignment vertical="center"/>
      <protection hidden="1"/>
    </xf>
    <xf numFmtId="0" fontId="5" fillId="7" borderId="28" xfId="0" applyFont="1" applyFill="1" applyBorder="1" applyAlignment="1" applyProtection="1">
      <alignment horizontal="center" vertical="center"/>
      <protection hidden="1"/>
    </xf>
    <xf numFmtId="0" fontId="0" fillId="10" borderId="0" xfId="0" applyFill="1"/>
    <xf numFmtId="10" fontId="8" fillId="9" borderId="4" xfId="1" applyNumberFormat="1" applyFont="1" applyFill="1" applyBorder="1" applyAlignment="1" applyProtection="1">
      <alignment horizontal="center" vertical="center"/>
      <protection hidden="1"/>
    </xf>
    <xf numFmtId="0" fontId="53" fillId="10"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protection locked="0"/>
    </xf>
    <xf numFmtId="0" fontId="5" fillId="21" borderId="0" xfId="2" applyFont="1" applyFill="1" applyAlignment="1">
      <alignment horizontal="left" vertical="top" wrapText="1"/>
    </xf>
    <xf numFmtId="0" fontId="4" fillId="21" borderId="4" xfId="0" applyFont="1" applyFill="1" applyBorder="1" applyAlignment="1">
      <alignment horizontal="center" vertical="center"/>
    </xf>
    <xf numFmtId="0" fontId="2" fillId="11" borderId="38" xfId="2" applyFill="1" applyBorder="1" applyProtection="1">
      <protection hidden="1"/>
    </xf>
    <xf numFmtId="0" fontId="2" fillId="11" borderId="40" xfId="2" applyFill="1" applyBorder="1" applyProtection="1">
      <protection hidden="1"/>
    </xf>
    <xf numFmtId="0" fontId="2" fillId="11" borderId="24" xfId="2" applyFill="1" applyBorder="1" applyProtection="1">
      <protection hidden="1"/>
    </xf>
    <xf numFmtId="0" fontId="4" fillId="16" borderId="10" xfId="0" applyFont="1" applyFill="1" applyBorder="1" applyAlignment="1" applyProtection="1">
      <alignment horizontal="center" vertical="center"/>
      <protection hidden="1"/>
    </xf>
    <xf numFmtId="0" fontId="4" fillId="6" borderId="41" xfId="0" applyFont="1" applyFill="1" applyBorder="1" applyAlignment="1" applyProtection="1">
      <alignment horizontal="center" vertical="center"/>
      <protection hidden="1"/>
    </xf>
    <xf numFmtId="0" fontId="6" fillId="9" borderId="41" xfId="2" applyFont="1" applyFill="1" applyBorder="1" applyAlignment="1" applyProtection="1">
      <alignment horizontal="center" vertical="center" wrapText="1"/>
      <protection hidden="1"/>
    </xf>
    <xf numFmtId="0" fontId="4" fillId="6" borderId="41" xfId="0" applyFont="1" applyFill="1" applyBorder="1" applyAlignment="1">
      <alignment horizontal="center" vertical="center"/>
    </xf>
    <xf numFmtId="0" fontId="6" fillId="9" borderId="41" xfId="2" applyFont="1" applyFill="1" applyBorder="1" applyAlignment="1">
      <alignment horizontal="center" vertical="center" wrapText="1"/>
    </xf>
    <xf numFmtId="10" fontId="0" fillId="0" borderId="0" xfId="0" applyNumberFormat="1"/>
    <xf numFmtId="0" fontId="14" fillId="20" borderId="28" xfId="0" applyFont="1" applyFill="1" applyBorder="1" applyAlignment="1" applyProtection="1">
      <alignment horizontal="center" vertical="center" wrapText="1"/>
      <protection locked="0"/>
    </xf>
    <xf numFmtId="0" fontId="21" fillId="2" borderId="0" xfId="2" applyFont="1" applyFill="1" applyBorder="1" applyProtection="1">
      <protection hidden="1"/>
    </xf>
    <xf numFmtId="0" fontId="4" fillId="16" borderId="4" xfId="0" applyFont="1" applyFill="1" applyBorder="1" applyAlignment="1">
      <alignment horizontal="center" vertical="center"/>
    </xf>
    <xf numFmtId="0" fontId="2" fillId="22" borderId="0" xfId="2" applyFill="1" applyProtection="1">
      <protection hidden="1"/>
    </xf>
    <xf numFmtId="0" fontId="2" fillId="23" borderId="0" xfId="2" applyFill="1" applyProtection="1">
      <protection hidden="1"/>
    </xf>
    <xf numFmtId="0" fontId="8" fillId="9" borderId="4" xfId="2" applyNumberFormat="1" applyFont="1" applyFill="1" applyBorder="1" applyAlignment="1" applyProtection="1">
      <alignment horizontal="center" vertical="center" wrapText="1"/>
      <protection hidden="1"/>
    </xf>
    <xf numFmtId="0" fontId="2" fillId="2" borderId="0" xfId="2" applyFont="1" applyFill="1" applyBorder="1" applyProtection="1">
      <protection hidden="1"/>
    </xf>
    <xf numFmtId="0" fontId="2" fillId="22" borderId="0" xfId="2" applyFill="1" applyBorder="1" applyProtection="1">
      <protection hidden="1"/>
    </xf>
    <xf numFmtId="0" fontId="2" fillId="23" borderId="0" xfId="2" applyFill="1" applyBorder="1" applyProtection="1">
      <protection hidden="1"/>
    </xf>
    <xf numFmtId="0" fontId="4" fillId="21" borderId="4" xfId="0" applyFont="1" applyFill="1" applyBorder="1" applyAlignment="1" applyProtection="1">
      <alignment horizontal="center" vertical="center"/>
      <protection hidden="1"/>
    </xf>
    <xf numFmtId="2" fontId="8" fillId="9" borderId="4" xfId="2" applyNumberFormat="1" applyFont="1" applyFill="1" applyBorder="1" applyAlignment="1" applyProtection="1">
      <alignment horizontal="center" vertical="center" wrapText="1"/>
      <protection hidden="1"/>
    </xf>
    <xf numFmtId="0" fontId="63" fillId="2" borderId="0" xfId="3" applyFont="1" applyFill="1" applyAlignment="1" applyProtection="1">
      <alignment horizontal="center"/>
      <protection hidden="1"/>
    </xf>
    <xf numFmtId="0" fontId="64" fillId="2" borderId="0" xfId="2" applyFont="1" applyFill="1" applyAlignment="1" applyProtection="1">
      <alignment horizontal="center"/>
      <protection hidden="1"/>
    </xf>
    <xf numFmtId="0" fontId="66" fillId="2" borderId="0" xfId="3" applyFont="1" applyFill="1" applyAlignment="1" applyProtection="1">
      <alignment horizontal="center"/>
      <protection hidden="1"/>
    </xf>
    <xf numFmtId="0" fontId="2" fillId="20" borderId="4" xfId="4" applyNumberFormat="1"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21" fillId="11" borderId="1" xfId="2" applyFont="1" applyFill="1" applyBorder="1" applyAlignment="1" applyProtection="1">
      <alignment horizontal="center" vertical="center"/>
      <protection hidden="1"/>
    </xf>
    <xf numFmtId="165" fontId="8" fillId="9" borderId="4" xfId="1" applyNumberFormat="1" applyFont="1" applyFill="1" applyBorder="1" applyAlignment="1" applyProtection="1">
      <alignment horizontal="center" vertical="center"/>
      <protection hidden="1"/>
    </xf>
    <xf numFmtId="0" fontId="67" fillId="0" borderId="0" xfId="0" applyFont="1"/>
    <xf numFmtId="0" fontId="67" fillId="0" borderId="0" xfId="0" applyFont="1" applyAlignment="1"/>
    <xf numFmtId="0" fontId="9" fillId="6" borderId="0" xfId="0" applyFont="1" applyFill="1" applyBorder="1" applyAlignment="1" applyProtection="1">
      <alignment vertical="center"/>
      <protection hidden="1"/>
    </xf>
    <xf numFmtId="0" fontId="69"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0" fontId="5" fillId="3" borderId="0" xfId="2" applyFont="1" applyFill="1" applyAlignment="1">
      <alignment vertical="top" wrapText="1"/>
    </xf>
    <xf numFmtId="0" fontId="4" fillId="3" borderId="4" xfId="0" applyFont="1" applyFill="1" applyBorder="1" applyAlignment="1" applyProtection="1">
      <alignment horizontal="center" vertical="center"/>
      <protection hidden="1"/>
    </xf>
    <xf numFmtId="0" fontId="4" fillId="6" borderId="4" xfId="0" applyFont="1" applyFill="1" applyBorder="1" applyAlignment="1" applyProtection="1">
      <alignment horizontal="center" vertical="center"/>
      <protection hidden="1"/>
    </xf>
    <xf numFmtId="0" fontId="4" fillId="6" borderId="4" xfId="0" applyFont="1" applyFill="1" applyBorder="1" applyAlignment="1">
      <alignment horizontal="center" vertical="center"/>
    </xf>
    <xf numFmtId="0" fontId="4" fillId="3" borderId="4" xfId="0" applyFont="1" applyFill="1" applyBorder="1" applyAlignment="1">
      <alignment horizontal="center" vertical="center"/>
    </xf>
    <xf numFmtId="0" fontId="21"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hidden="1"/>
    </xf>
    <xf numFmtId="0" fontId="10" fillId="6" borderId="0" xfId="0" applyFont="1" applyFill="1" applyBorder="1" applyAlignment="1" applyProtection="1">
      <alignment horizontal="left" vertical="center" indent="1"/>
      <protection hidden="1"/>
    </xf>
    <xf numFmtId="20" fontId="2" fillId="11" borderId="0" xfId="2" applyNumberFormat="1" applyFont="1" applyFill="1"/>
    <xf numFmtId="20" fontId="2" fillId="2" borderId="0" xfId="2" applyNumberFormat="1" applyFill="1" applyProtection="1">
      <protection hidden="1"/>
    </xf>
    <xf numFmtId="3" fontId="14" fillId="20" borderId="10" xfId="0" applyNumberFormat="1" applyFont="1" applyFill="1" applyBorder="1" applyAlignment="1" applyProtection="1">
      <alignment horizontal="center" vertical="center" wrapText="1"/>
      <protection locked="0"/>
    </xf>
    <xf numFmtId="0" fontId="14" fillId="20" borderId="41" xfId="0" applyFont="1" applyFill="1" applyBorder="1" applyAlignment="1" applyProtection="1">
      <alignment horizontal="center" vertical="center" wrapText="1"/>
      <protection locked="0"/>
    </xf>
    <xf numFmtId="0" fontId="4" fillId="5" borderId="41" xfId="0" applyFont="1" applyFill="1" applyBorder="1" applyAlignment="1" applyProtection="1">
      <alignment horizontal="center" vertical="center"/>
      <protection hidden="1"/>
    </xf>
    <xf numFmtId="10" fontId="8" fillId="9" borderId="41" xfId="1" applyNumberFormat="1"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5" fillId="13" borderId="0" xfId="2" applyFont="1" applyFill="1" applyAlignment="1">
      <alignment horizontal="center" vertical="center" wrapText="1"/>
    </xf>
    <xf numFmtId="0" fontId="48" fillId="13" borderId="0" xfId="2" applyFont="1" applyFill="1" applyAlignment="1">
      <alignment horizontal="left" vertical="center"/>
    </xf>
    <xf numFmtId="0" fontId="5" fillId="13" borderId="0" xfId="2" applyFont="1" applyFill="1" applyAlignment="1">
      <alignment horizontal="left" vertical="top" wrapText="1"/>
    </xf>
    <xf numFmtId="0" fontId="48" fillId="3" borderId="0" xfId="2" applyFont="1" applyFill="1" applyAlignment="1">
      <alignment horizontal="left" vertical="center" wrapText="1"/>
    </xf>
    <xf numFmtId="0" fontId="5" fillId="3" borderId="0" xfId="2" applyFont="1" applyFill="1" applyAlignment="1">
      <alignment horizontal="left" vertical="center" wrapText="1"/>
    </xf>
    <xf numFmtId="0" fontId="21" fillId="11" borderId="1" xfId="2" applyFont="1" applyFill="1" applyBorder="1" applyAlignment="1" applyProtection="1">
      <alignment horizontal="center" vertical="center"/>
      <protection hidden="1"/>
    </xf>
    <xf numFmtId="0" fontId="38" fillId="16" borderId="0" xfId="0" applyFont="1" applyFill="1" applyBorder="1" applyAlignment="1" applyProtection="1">
      <alignment horizontal="left" vertical="center" indent="1"/>
      <protection hidden="1"/>
    </xf>
    <xf numFmtId="0" fontId="21" fillId="11" borderId="1" xfId="2" applyFont="1" applyFill="1" applyBorder="1" applyAlignment="1" applyProtection="1">
      <alignment horizontal="center" vertical="center"/>
      <protection hidden="1"/>
    </xf>
    <xf numFmtId="0" fontId="0" fillId="11" borderId="0" xfId="0" applyFont="1" applyFill="1" applyProtection="1">
      <protection hidden="1"/>
    </xf>
    <xf numFmtId="0" fontId="0" fillId="0" borderId="0" xfId="0" applyFont="1"/>
    <xf numFmtId="0" fontId="74" fillId="11" borderId="0" xfId="0" applyFont="1" applyFill="1" applyProtection="1">
      <protection hidden="1"/>
    </xf>
    <xf numFmtId="0" fontId="0" fillId="11" borderId="0" xfId="0" applyFont="1" applyFill="1" applyAlignment="1" applyProtection="1">
      <alignment vertical="top" wrapText="1"/>
      <protection hidden="1"/>
    </xf>
    <xf numFmtId="0" fontId="4" fillId="5" borderId="4" xfId="0" applyFont="1" applyFill="1" applyBorder="1" applyAlignment="1" applyProtection="1">
      <alignment horizontal="center" vertical="center"/>
      <protection hidden="1"/>
    </xf>
    <xf numFmtId="0" fontId="5" fillId="13" borderId="0" xfId="2" applyFont="1" applyFill="1" applyAlignment="1">
      <alignment horizontal="left" vertical="top" wrapText="1"/>
    </xf>
    <xf numFmtId="0" fontId="38" fillId="21" borderId="0" xfId="0" applyFont="1" applyFill="1" applyBorder="1" applyAlignment="1" applyProtection="1">
      <alignment horizontal="left" vertical="center" indent="1"/>
      <protection hidden="1"/>
    </xf>
    <xf numFmtId="2" fontId="8" fillId="9" borderId="4" xfId="1" applyNumberFormat="1" applyFont="1" applyFill="1" applyBorder="1" applyAlignment="1" applyProtection="1">
      <alignment horizontal="center" vertical="center" wrapText="1"/>
      <protection hidden="1"/>
    </xf>
    <xf numFmtId="0" fontId="65" fillId="2" borderId="0" xfId="2" applyFont="1" applyFill="1" applyAlignment="1" applyProtection="1">
      <alignment vertical="center" wrapText="1"/>
      <protection hidden="1"/>
    </xf>
    <xf numFmtId="0" fontId="65" fillId="2" borderId="23" xfId="2" applyFont="1" applyFill="1" applyBorder="1" applyAlignment="1" applyProtection="1">
      <alignment vertical="center" wrapText="1"/>
      <protection hidden="1"/>
    </xf>
    <xf numFmtId="0" fontId="19" fillId="13" borderId="27" xfId="2" applyFont="1" applyFill="1" applyBorder="1" applyAlignment="1" applyProtection="1">
      <alignment horizontal="center" vertical="center" wrapText="1"/>
      <protection hidden="1"/>
    </xf>
    <xf numFmtId="0" fontId="4" fillId="13" borderId="4" xfId="0" applyFont="1" applyFill="1" applyBorder="1" applyAlignment="1" applyProtection="1">
      <alignment horizontal="center" vertical="center"/>
      <protection hidden="1"/>
    </xf>
    <xf numFmtId="0" fontId="4" fillId="13" borderId="4" xfId="0" applyFont="1" applyFill="1" applyBorder="1" applyAlignment="1">
      <alignment horizontal="center" vertical="center"/>
    </xf>
    <xf numFmtId="0" fontId="38" fillId="6" borderId="0" xfId="0" applyFont="1" applyFill="1" applyBorder="1" applyAlignment="1" applyProtection="1">
      <alignment horizontal="left" vertical="center" indent="1"/>
      <protection hidden="1"/>
    </xf>
    <xf numFmtId="0" fontId="14" fillId="4" borderId="4" xfId="0"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11" fillId="5" borderId="29" xfId="2" applyFont="1" applyFill="1" applyBorder="1"/>
    <xf numFmtId="0" fontId="48" fillId="5" borderId="31" xfId="2" applyFont="1" applyFill="1" applyBorder="1" applyAlignment="1">
      <alignment horizontal="left" vertical="center" wrapText="1"/>
    </xf>
    <xf numFmtId="0" fontId="11" fillId="5" borderId="35" xfId="2" applyFont="1" applyFill="1" applyBorder="1"/>
    <xf numFmtId="0" fontId="48" fillId="5" borderId="20" xfId="2" applyFont="1" applyFill="1" applyBorder="1" applyAlignment="1">
      <alignment horizontal="left" vertical="center" wrapText="1"/>
    </xf>
    <xf numFmtId="0" fontId="48" fillId="5" borderId="0" xfId="2" applyFont="1" applyFill="1" applyBorder="1" applyAlignment="1">
      <alignment vertical="center" wrapText="1"/>
    </xf>
    <xf numFmtId="0" fontId="48" fillId="5" borderId="20" xfId="2" applyFont="1" applyFill="1" applyBorder="1" applyAlignment="1">
      <alignment vertical="center" wrapText="1"/>
    </xf>
    <xf numFmtId="0" fontId="5" fillId="5" borderId="20" xfId="2" applyFont="1" applyFill="1" applyBorder="1" applyAlignment="1">
      <alignment horizontal="left" vertical="top" wrapText="1"/>
    </xf>
    <xf numFmtId="0" fontId="5" fillId="5" borderId="35" xfId="2" applyFont="1" applyFill="1" applyBorder="1" applyAlignment="1">
      <alignment horizontal="left" vertical="center" wrapText="1" indent="11"/>
    </xf>
    <xf numFmtId="0" fontId="5" fillId="5" borderId="32" xfId="2" applyFont="1" applyFill="1" applyBorder="1" applyAlignment="1">
      <alignment horizontal="left" vertical="center" wrapText="1" indent="11"/>
    </xf>
    <xf numFmtId="0" fontId="5" fillId="5" borderId="33" xfId="2" applyFont="1" applyFill="1" applyBorder="1" applyAlignment="1">
      <alignment horizontal="left" vertical="top" wrapText="1"/>
    </xf>
    <xf numFmtId="0" fontId="2" fillId="2" borderId="29" xfId="2" applyFont="1" applyFill="1" applyBorder="1"/>
    <xf numFmtId="0" fontId="2" fillId="2" borderId="30" xfId="2" applyFont="1" applyFill="1" applyBorder="1"/>
    <xf numFmtId="0" fontId="2" fillId="2" borderId="31" xfId="2" applyFont="1" applyFill="1" applyBorder="1"/>
    <xf numFmtId="0" fontId="2" fillId="2" borderId="35" xfId="2" applyFont="1" applyFill="1" applyBorder="1"/>
    <xf numFmtId="0" fontId="2" fillId="2" borderId="0" xfId="2" applyFont="1" applyFill="1" applyBorder="1"/>
    <xf numFmtId="0" fontId="2" fillId="2" borderId="20" xfId="2" applyFont="1" applyFill="1" applyBorder="1"/>
    <xf numFmtId="0" fontId="2" fillId="2" borderId="32" xfId="2" applyFont="1" applyFill="1" applyBorder="1"/>
    <xf numFmtId="0" fontId="2" fillId="2" borderId="3" xfId="2" applyFont="1" applyFill="1" applyBorder="1"/>
    <xf numFmtId="0" fontId="2" fillId="2" borderId="33" xfId="2" applyFont="1" applyFill="1" applyBorder="1"/>
    <xf numFmtId="0" fontId="5" fillId="5" borderId="0" xfId="2" applyFont="1" applyFill="1" applyBorder="1" applyAlignment="1">
      <alignment vertical="top" wrapText="1"/>
    </xf>
    <xf numFmtId="0" fontId="5" fillId="5" borderId="3" xfId="2" applyFont="1" applyFill="1" applyBorder="1" applyAlignment="1">
      <alignment vertical="top" wrapText="1"/>
    </xf>
    <xf numFmtId="0" fontId="5" fillId="21" borderId="0" xfId="2" applyFont="1" applyFill="1" applyAlignment="1">
      <alignment vertical="top" wrapText="1"/>
    </xf>
    <xf numFmtId="0" fontId="11" fillId="21" borderId="29" xfId="2" applyFont="1" applyFill="1" applyBorder="1"/>
    <xf numFmtId="0" fontId="48" fillId="21" borderId="31" xfId="2" applyFont="1" applyFill="1" applyBorder="1" applyAlignment="1">
      <alignment horizontal="left" vertical="center"/>
    </xf>
    <xf numFmtId="0" fontId="11" fillId="21" borderId="35" xfId="2" applyFont="1" applyFill="1" applyBorder="1"/>
    <xf numFmtId="0" fontId="48" fillId="21" borderId="20" xfId="2" applyFont="1" applyFill="1" applyBorder="1" applyAlignment="1">
      <alignment horizontal="left" vertical="center"/>
    </xf>
    <xf numFmtId="0" fontId="5" fillId="21" borderId="20" xfId="2" applyFont="1" applyFill="1" applyBorder="1" applyAlignment="1">
      <alignment horizontal="left" vertical="top" wrapText="1"/>
    </xf>
    <xf numFmtId="0" fontId="5" fillId="21" borderId="35" xfId="2" applyFont="1" applyFill="1" applyBorder="1" applyAlignment="1">
      <alignment horizontal="left" vertical="center" wrapText="1" indent="11"/>
    </xf>
    <xf numFmtId="0" fontId="5" fillId="21" borderId="0" xfId="2" applyFont="1" applyFill="1" applyBorder="1" applyAlignment="1">
      <alignment vertical="top" wrapText="1"/>
    </xf>
    <xf numFmtId="0" fontId="5" fillId="21" borderId="32" xfId="2" applyFont="1" applyFill="1" applyBorder="1" applyAlignment="1">
      <alignment horizontal="left" vertical="center" wrapText="1" indent="11"/>
    </xf>
    <xf numFmtId="0" fontId="5" fillId="21" borderId="3" xfId="2" applyFont="1" applyFill="1" applyBorder="1" applyAlignment="1">
      <alignment vertical="top" wrapText="1"/>
    </xf>
    <xf numFmtId="0" fontId="5" fillId="21" borderId="33" xfId="2" applyFont="1" applyFill="1" applyBorder="1" applyAlignment="1">
      <alignment horizontal="left" vertical="top" wrapText="1"/>
    </xf>
    <xf numFmtId="0" fontId="11" fillId="16" borderId="29" xfId="2" applyFont="1" applyFill="1" applyBorder="1"/>
    <xf numFmtId="0" fontId="48" fillId="16" borderId="31" xfId="2" applyFont="1" applyFill="1" applyBorder="1" applyAlignment="1">
      <alignment horizontal="left" vertical="center"/>
    </xf>
    <xf numFmtId="0" fontId="11" fillId="16" borderId="35" xfId="2" applyFont="1" applyFill="1" applyBorder="1"/>
    <xf numFmtId="0" fontId="48" fillId="16" borderId="20" xfId="2" applyFont="1" applyFill="1" applyBorder="1" applyAlignment="1">
      <alignment horizontal="left" vertical="center"/>
    </xf>
    <xf numFmtId="0" fontId="5" fillId="16" borderId="20" xfId="2" applyFont="1" applyFill="1" applyBorder="1" applyAlignment="1">
      <alignment horizontal="left" vertical="top" wrapText="1"/>
    </xf>
    <xf numFmtId="0" fontId="5" fillId="16" borderId="35" xfId="2" applyFont="1" applyFill="1" applyBorder="1" applyAlignment="1">
      <alignment horizontal="left" vertical="center" wrapText="1" indent="11"/>
    </xf>
    <xf numFmtId="0" fontId="5" fillId="16" borderId="0" xfId="2" applyFont="1" applyFill="1" applyBorder="1" applyAlignment="1">
      <alignment vertical="top" wrapText="1"/>
    </xf>
    <xf numFmtId="0" fontId="5" fillId="16" borderId="20" xfId="2" applyFont="1" applyFill="1" applyBorder="1" applyAlignment="1">
      <alignment vertical="top" wrapText="1"/>
    </xf>
    <xf numFmtId="0" fontId="5" fillId="16" borderId="33" xfId="2" applyFont="1" applyFill="1" applyBorder="1" applyAlignment="1">
      <alignment horizontal="center" vertical="center" wrapText="1"/>
    </xf>
    <xf numFmtId="0" fontId="2" fillId="11" borderId="23" xfId="2" applyFont="1" applyFill="1" applyBorder="1"/>
    <xf numFmtId="0" fontId="47" fillId="6" borderId="41" xfId="0" applyFont="1" applyFill="1" applyBorder="1" applyAlignment="1">
      <alignment horizontal="center" vertical="center" wrapText="1"/>
    </xf>
    <xf numFmtId="0" fontId="78" fillId="15" borderId="41" xfId="0" applyFont="1" applyFill="1" applyBorder="1" applyAlignment="1">
      <alignment horizontal="center" vertical="center" wrapText="1"/>
    </xf>
    <xf numFmtId="0" fontId="79" fillId="11" borderId="0" xfId="2" applyFont="1" applyFill="1" applyBorder="1"/>
    <xf numFmtId="0" fontId="52" fillId="11" borderId="0" xfId="0" applyFont="1" applyFill="1"/>
    <xf numFmtId="0" fontId="0" fillId="11" borderId="0" xfId="0" applyFont="1" applyFill="1"/>
    <xf numFmtId="0" fontId="74" fillId="11" borderId="0" xfId="0" applyFont="1" applyFill="1"/>
    <xf numFmtId="0" fontId="11" fillId="7" borderId="29" xfId="2" applyFont="1" applyFill="1" applyBorder="1"/>
    <xf numFmtId="0" fontId="48" fillId="7" borderId="31" xfId="2" applyFont="1" applyFill="1" applyBorder="1" applyAlignment="1">
      <alignment horizontal="left" vertical="center"/>
    </xf>
    <xf numFmtId="0" fontId="11" fillId="7" borderId="35" xfId="2" applyFont="1" applyFill="1" applyBorder="1"/>
    <xf numFmtId="0" fontId="48" fillId="7" borderId="20" xfId="2" applyFont="1" applyFill="1" applyBorder="1" applyAlignment="1">
      <alignment horizontal="left" vertical="center"/>
    </xf>
    <xf numFmtId="0" fontId="5" fillId="7" borderId="20" xfId="2" applyFont="1" applyFill="1" applyBorder="1" applyAlignment="1">
      <alignment horizontal="left" vertical="top" wrapText="1"/>
    </xf>
    <xf numFmtId="0" fontId="5" fillId="7" borderId="35" xfId="2" applyFont="1" applyFill="1" applyBorder="1" applyAlignment="1">
      <alignment horizontal="left" vertical="center" wrapText="1" indent="11"/>
    </xf>
    <xf numFmtId="0" fontId="5" fillId="7" borderId="0" xfId="2" applyFont="1" applyFill="1" applyBorder="1" applyAlignment="1">
      <alignment vertical="top" wrapText="1"/>
    </xf>
    <xf numFmtId="0" fontId="5" fillId="7" borderId="20" xfId="2" applyFont="1" applyFill="1" applyBorder="1" applyAlignment="1">
      <alignment vertical="top" wrapText="1"/>
    </xf>
    <xf numFmtId="0" fontId="5" fillId="7" borderId="33" xfId="2" applyFont="1" applyFill="1" applyBorder="1" applyAlignment="1">
      <alignment horizontal="center" vertical="center" wrapText="1"/>
    </xf>
    <xf numFmtId="0" fontId="38" fillId="8"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84" fillId="25" borderId="0" xfId="0" applyFont="1" applyFill="1" applyAlignment="1">
      <alignment vertical="center"/>
    </xf>
    <xf numFmtId="0" fontId="8" fillId="9" borderId="4" xfId="2" applyFont="1" applyFill="1" applyBorder="1" applyAlignment="1" applyProtection="1">
      <alignment horizontal="center" vertical="center" wrapText="1"/>
      <protection hidden="1"/>
    </xf>
    <xf numFmtId="167" fontId="14" fillId="20" borderId="28" xfId="0" applyNumberFormat="1" applyFont="1" applyFill="1" applyBorder="1" applyAlignment="1" applyProtection="1">
      <alignment horizontal="center" vertical="center" wrapText="1"/>
      <protection locked="0"/>
    </xf>
    <xf numFmtId="167" fontId="14" fillId="4" borderId="28" xfId="0" applyNumberFormat="1" applyFont="1" applyFill="1" applyBorder="1" applyAlignment="1" applyProtection="1">
      <alignment horizontal="center" vertical="center" wrapText="1"/>
      <protection hidden="1"/>
    </xf>
    <xf numFmtId="0" fontId="11" fillId="6" borderId="3" xfId="0" applyFont="1" applyFill="1" applyBorder="1" applyAlignment="1">
      <alignment horizontal="center" vertical="center"/>
    </xf>
    <xf numFmtId="0" fontId="19" fillId="7" borderId="27" xfId="2" applyFont="1" applyFill="1" applyBorder="1" applyAlignment="1" applyProtection="1">
      <alignment horizontal="center" vertical="center" wrapText="1"/>
      <protection hidden="1"/>
    </xf>
    <xf numFmtId="0" fontId="4" fillId="7" borderId="41" xfId="0" applyFont="1" applyFill="1" applyBorder="1" applyAlignment="1" applyProtection="1">
      <alignment horizontal="center" vertical="center"/>
      <protection hidden="1"/>
    </xf>
    <xf numFmtId="0" fontId="2" fillId="2" borderId="0" xfId="2" applyFont="1" applyFill="1" applyBorder="1" applyAlignment="1" applyProtection="1">
      <protection hidden="1"/>
    </xf>
    <xf numFmtId="0" fontId="13" fillId="21" borderId="7" xfId="0" applyFont="1" applyFill="1" applyBorder="1" applyAlignment="1" applyProtection="1">
      <alignment horizontal="center" vertical="center"/>
      <protection hidden="1"/>
    </xf>
    <xf numFmtId="0" fontId="2" fillId="4" borderId="28" xfId="2"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20" fillId="2" borderId="0" xfId="2" applyFont="1" applyFill="1" applyBorder="1" applyAlignment="1" applyProtection="1">
      <alignment vertical="center"/>
      <protection hidden="1"/>
    </xf>
    <xf numFmtId="0" fontId="13" fillId="6" borderId="1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2" fillId="11" borderId="0" xfId="2" applyFont="1" applyFill="1" applyBorder="1" applyAlignment="1">
      <alignment vertical="center" wrapText="1"/>
    </xf>
    <xf numFmtId="0" fontId="2" fillId="11" borderId="0" xfId="2" applyFont="1" applyFill="1" applyBorder="1" applyAlignment="1"/>
    <xf numFmtId="0" fontId="20" fillId="11" borderId="0" xfId="2" applyFont="1" applyFill="1" applyBorder="1" applyAlignment="1"/>
    <xf numFmtId="0" fontId="13" fillId="6" borderId="7" xfId="0" applyFont="1" applyFill="1" applyBorder="1" applyAlignment="1" applyProtection="1">
      <alignment horizontal="center" vertical="center" wrapText="1"/>
      <protection hidden="1"/>
    </xf>
    <xf numFmtId="0" fontId="11" fillId="6" borderId="29" xfId="2" applyFont="1" applyFill="1" applyBorder="1"/>
    <xf numFmtId="0" fontId="48" fillId="6" borderId="31" xfId="2" applyFont="1" applyFill="1" applyBorder="1" applyAlignment="1">
      <alignment horizontal="left" vertical="center" wrapText="1"/>
    </xf>
    <xf numFmtId="0" fontId="11" fillId="6" borderId="35" xfId="2" applyFont="1" applyFill="1" applyBorder="1"/>
    <xf numFmtId="0" fontId="48" fillId="6" borderId="20" xfId="2" applyFont="1" applyFill="1" applyBorder="1" applyAlignment="1">
      <alignment horizontal="left" vertical="center" wrapText="1"/>
    </xf>
    <xf numFmtId="0" fontId="48" fillId="6" borderId="20" xfId="2" applyFont="1" applyFill="1" applyBorder="1" applyAlignment="1">
      <alignment vertical="center" wrapText="1"/>
    </xf>
    <xf numFmtId="0" fontId="5" fillId="6" borderId="20" xfId="2" applyFont="1" applyFill="1" applyBorder="1" applyAlignment="1">
      <alignment horizontal="left" vertical="top" wrapText="1"/>
    </xf>
    <xf numFmtId="0" fontId="5" fillId="6" borderId="35" xfId="2" applyFont="1" applyFill="1" applyBorder="1" applyAlignment="1">
      <alignment horizontal="left" vertical="center" wrapText="1" indent="11"/>
    </xf>
    <xf numFmtId="0" fontId="5" fillId="6" borderId="32" xfId="2" applyFont="1" applyFill="1" applyBorder="1" applyAlignment="1">
      <alignment horizontal="left" vertical="center" wrapText="1" indent="11"/>
    </xf>
    <xf numFmtId="0" fontId="5" fillId="6" borderId="33" xfId="2" applyFont="1" applyFill="1" applyBorder="1" applyAlignment="1">
      <alignment horizontal="left" vertical="top" wrapText="1"/>
    </xf>
    <xf numFmtId="0" fontId="5" fillId="6" borderId="0" xfId="2" applyFont="1" applyFill="1" applyBorder="1" applyAlignment="1">
      <alignment vertical="top" wrapText="1"/>
    </xf>
    <xf numFmtId="0" fontId="5" fillId="6" borderId="3" xfId="2" applyFont="1" applyFill="1" applyBorder="1" applyAlignment="1">
      <alignment vertical="top" wrapText="1"/>
    </xf>
    <xf numFmtId="0" fontId="11" fillId="3" borderId="8" xfId="2" applyFont="1" applyFill="1" applyBorder="1" applyAlignment="1" applyProtection="1">
      <alignment horizontal="center" wrapText="1"/>
      <protection hidden="1"/>
    </xf>
    <xf numFmtId="0" fontId="14" fillId="20" borderId="60" xfId="0" applyFont="1" applyFill="1" applyBorder="1" applyAlignment="1" applyProtection="1">
      <alignment horizontal="center" vertical="center" wrapText="1"/>
      <protection locked="0"/>
    </xf>
    <xf numFmtId="0" fontId="11" fillId="3" borderId="7"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13" fillId="13" borderId="10" xfId="0"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21" fillId="11" borderId="2" xfId="2" applyFont="1" applyFill="1" applyBorder="1" applyAlignment="1" applyProtection="1">
      <alignment horizontal="center" vertical="center"/>
      <protection hidden="1"/>
    </xf>
    <xf numFmtId="0" fontId="21" fillId="11" borderId="1" xfId="2" applyFont="1" applyFill="1" applyBorder="1" applyAlignment="1">
      <alignment horizontal="center" vertical="center"/>
    </xf>
    <xf numFmtId="0" fontId="19" fillId="13" borderId="26" xfId="2" applyFont="1" applyFill="1" applyBorder="1" applyAlignment="1" applyProtection="1">
      <alignment horizontal="center" vertical="center" wrapText="1"/>
      <protection hidden="1"/>
    </xf>
    <xf numFmtId="0" fontId="19" fillId="21" borderId="26" xfId="2" applyFont="1" applyFill="1" applyBorder="1" applyAlignment="1" applyProtection="1">
      <alignment horizontal="center" vertical="center" wrapText="1"/>
      <protection hidden="1"/>
    </xf>
    <xf numFmtId="0" fontId="2" fillId="2" borderId="39" xfId="2" applyFill="1" applyBorder="1" applyProtection="1">
      <protection hidden="1"/>
    </xf>
    <xf numFmtId="0" fontId="2" fillId="2" borderId="0" xfId="2" applyFill="1" applyBorder="1" applyAlignment="1" applyProtection="1">
      <alignment horizontal="left" wrapText="1"/>
      <protection hidden="1"/>
    </xf>
    <xf numFmtId="0" fontId="14" fillId="20" borderId="4" xfId="0" applyFont="1" applyFill="1" applyBorder="1" applyAlignment="1" applyProtection="1">
      <alignment horizontal="center" vertical="center" wrapText="1"/>
      <protection locked="0"/>
    </xf>
    <xf numFmtId="0" fontId="0" fillId="11" borderId="0" xfId="0" applyFill="1" applyAlignment="1"/>
    <xf numFmtId="0" fontId="2" fillId="10" borderId="4" xfId="2" applyFont="1" applyFill="1" applyBorder="1" applyAlignment="1" applyProtection="1">
      <alignment horizontal="center" vertical="center"/>
      <protection hidden="1"/>
    </xf>
    <xf numFmtId="0" fontId="18" fillId="2" borderId="0" xfId="0" applyFont="1" applyFill="1"/>
    <xf numFmtId="0" fontId="2" fillId="2" borderId="0" xfId="2" applyFont="1" applyFill="1" applyBorder="1" applyAlignment="1" applyProtection="1">
      <alignment horizontal="left" indent="1"/>
      <protection hidden="1"/>
    </xf>
    <xf numFmtId="0" fontId="2" fillId="2" borderId="0" xfId="2" applyFill="1" applyBorder="1" applyAlignment="1" applyProtection="1">
      <alignment horizontal="left"/>
      <protection hidden="1"/>
    </xf>
    <xf numFmtId="0" fontId="0" fillId="11"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2" fontId="2" fillId="4" borderId="4" xfId="2" applyNumberFormat="1" applyFont="1" applyFill="1" applyBorder="1" applyAlignment="1" applyProtection="1">
      <alignment horizontal="center" vertical="center" wrapText="1"/>
      <protection hidden="1"/>
    </xf>
    <xf numFmtId="2" fontId="2" fillId="4" borderId="28" xfId="2" applyNumberFormat="1"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96" fillId="11" borderId="0" xfId="0" applyFont="1" applyFill="1"/>
    <xf numFmtId="0" fontId="0" fillId="11" borderId="0" xfId="0" applyFont="1" applyFill="1" applyProtection="1">
      <protection locked="0"/>
    </xf>
    <xf numFmtId="0" fontId="14" fillId="20" borderId="4" xfId="0" applyFont="1" applyFill="1" applyBorder="1" applyAlignment="1" applyProtection="1">
      <alignment horizontal="center" vertical="center" wrapText="1"/>
      <protection locked="0"/>
    </xf>
    <xf numFmtId="0" fontId="21" fillId="11" borderId="1" xfId="2" applyFont="1" applyFill="1" applyBorder="1" applyAlignment="1" applyProtection="1">
      <alignment horizontal="center" vertical="center"/>
      <protection hidden="1"/>
    </xf>
    <xf numFmtId="0" fontId="2" fillId="7" borderId="0" xfId="2" applyFont="1" applyFill="1"/>
    <xf numFmtId="0" fontId="0" fillId="28" borderId="0" xfId="0" applyFill="1"/>
    <xf numFmtId="0" fontId="11" fillId="29" borderId="0" xfId="2" applyFont="1" applyFill="1"/>
    <xf numFmtId="0" fontId="48" fillId="29" borderId="0" xfId="2" applyFont="1" applyFill="1" applyAlignment="1">
      <alignment horizontal="left" vertical="center" wrapText="1"/>
    </xf>
    <xf numFmtId="0" fontId="5" fillId="29" borderId="0" xfId="2" applyFont="1" applyFill="1" applyAlignment="1">
      <alignment horizontal="left" vertical="center" wrapText="1"/>
    </xf>
    <xf numFmtId="0" fontId="5" fillId="29" borderId="0" xfId="2" applyFont="1" applyFill="1" applyAlignment="1">
      <alignment horizontal="left" vertical="center" wrapText="1" indent="11"/>
    </xf>
    <xf numFmtId="0" fontId="5" fillId="29" borderId="0" xfId="2" applyFont="1" applyFill="1" applyAlignment="1">
      <alignment vertical="top" wrapText="1"/>
    </xf>
    <xf numFmtId="0" fontId="5" fillId="29" borderId="32" xfId="0" applyFont="1" applyFill="1" applyBorder="1" applyAlignment="1" applyProtection="1">
      <alignment horizontal="left" vertical="center" indent="1"/>
      <protection hidden="1"/>
    </xf>
    <xf numFmtId="0" fontId="5" fillId="29" borderId="3" xfId="0" applyFont="1" applyFill="1" applyBorder="1" applyAlignment="1" applyProtection="1">
      <alignment vertical="center"/>
      <protection hidden="1"/>
    </xf>
    <xf numFmtId="0" fontId="5" fillId="29" borderId="28" xfId="0" applyFont="1" applyFill="1" applyBorder="1" applyAlignment="1" applyProtection="1">
      <alignment horizontal="center" vertical="center"/>
      <protection hidden="1"/>
    </xf>
    <xf numFmtId="0" fontId="21" fillId="11" borderId="45" xfId="2" applyFont="1" applyFill="1" applyBorder="1" applyAlignment="1" applyProtection="1">
      <alignment horizontal="center" vertical="center"/>
      <protection hidden="1"/>
    </xf>
    <xf numFmtId="0" fontId="21" fillId="11" borderId="1" xfId="2" applyFont="1" applyFill="1" applyBorder="1" applyAlignment="1" applyProtection="1">
      <alignment horizontal="center" vertical="center"/>
      <protection hidden="1"/>
    </xf>
    <xf numFmtId="0" fontId="102" fillId="2" borderId="0" xfId="3" applyFont="1" applyFill="1" applyAlignment="1" applyProtection="1">
      <alignment horizontal="center"/>
      <protection hidden="1"/>
    </xf>
    <xf numFmtId="0" fontId="10" fillId="29" borderId="0" xfId="0" applyFont="1" applyFill="1" applyBorder="1" applyAlignment="1" applyProtection="1">
      <alignment vertical="center"/>
      <protection hidden="1"/>
    </xf>
    <xf numFmtId="0" fontId="19" fillId="29" borderId="0" xfId="2" applyFont="1" applyFill="1" applyBorder="1" applyAlignment="1" applyProtection="1">
      <alignment horizontal="center" vertical="center" wrapText="1"/>
      <protection hidden="1"/>
    </xf>
    <xf numFmtId="0" fontId="21" fillId="11" borderId="22" xfId="2" applyFont="1" applyFill="1" applyBorder="1" applyAlignment="1" applyProtection="1">
      <alignment horizontal="center" vertical="center"/>
      <protection hidden="1"/>
    </xf>
    <xf numFmtId="0" fontId="2" fillId="2" borderId="23" xfId="2" applyFill="1" applyBorder="1" applyProtection="1">
      <protection hidden="1"/>
    </xf>
    <xf numFmtId="0" fontId="2" fillId="2" borderId="40" xfId="2" applyFill="1" applyBorder="1" applyProtection="1">
      <protection hidden="1"/>
    </xf>
    <xf numFmtId="0" fontId="30" fillId="14" borderId="0" xfId="2"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48" fillId="29" borderId="0" xfId="2" applyFont="1" applyFill="1" applyAlignment="1">
      <alignment horizontal="left" vertical="center" wrapText="1"/>
    </xf>
    <xf numFmtId="0" fontId="78" fillId="15" borderId="4" xfId="0" applyFont="1" applyFill="1" applyBorder="1" applyAlignment="1">
      <alignment horizontal="center" vertical="center" wrapText="1"/>
    </xf>
    <xf numFmtId="0" fontId="21" fillId="2" borderId="0" xfId="2" applyFont="1" applyFill="1" applyAlignment="1" applyProtection="1">
      <alignment vertical="center"/>
      <protection hidden="1"/>
    </xf>
    <xf numFmtId="0" fontId="21" fillId="2" borderId="0" xfId="2" applyFont="1" applyFill="1" applyBorder="1" applyAlignment="1">
      <alignment horizontal="right"/>
    </xf>
    <xf numFmtId="0" fontId="2" fillId="2" borderId="0" xfId="2" applyFill="1" applyAlignment="1" applyProtection="1">
      <alignment horizontal="left"/>
      <protection hidden="1"/>
    </xf>
    <xf numFmtId="0" fontId="2" fillId="2" borderId="0" xfId="2" applyFill="1" applyAlignment="1" applyProtection="1">
      <alignment horizontal="left" indent="1"/>
      <protection hidden="1"/>
    </xf>
    <xf numFmtId="0" fontId="23" fillId="14" borderId="39" xfId="2" applyFont="1" applyFill="1" applyBorder="1" applyAlignment="1" applyProtection="1">
      <alignment horizontal="left" vertical="center" wrapText="1"/>
      <protection hidden="1"/>
    </xf>
    <xf numFmtId="0" fontId="23" fillId="14" borderId="39" xfId="2" applyFont="1" applyFill="1" applyBorder="1" applyAlignment="1" applyProtection="1">
      <alignment vertical="center" wrapText="1"/>
      <protection hidden="1"/>
    </xf>
    <xf numFmtId="0" fontId="23" fillId="14" borderId="22" xfId="2" applyFont="1" applyFill="1" applyBorder="1" applyAlignment="1" applyProtection="1">
      <alignment vertical="center" wrapText="1"/>
      <protection hidden="1"/>
    </xf>
    <xf numFmtId="0" fontId="30" fillId="14" borderId="23" xfId="2" applyFont="1" applyFill="1" applyBorder="1" applyAlignment="1" applyProtection="1">
      <alignment horizontal="center" vertical="center" wrapText="1"/>
      <protection hidden="1"/>
    </xf>
    <xf numFmtId="0" fontId="27" fillId="10" borderId="25" xfId="2" applyFont="1" applyFill="1" applyBorder="1" applyAlignment="1" applyProtection="1">
      <alignment horizontal="center" wrapText="1"/>
      <protection hidden="1"/>
    </xf>
    <xf numFmtId="0" fontId="23" fillId="14" borderId="36" xfId="2" applyFont="1" applyFill="1" applyBorder="1" applyAlignment="1" applyProtection="1">
      <alignment horizontal="left" vertical="center" wrapText="1"/>
      <protection hidden="1"/>
    </xf>
    <xf numFmtId="0" fontId="30" fillId="14" borderId="37" xfId="2" applyFont="1" applyFill="1" applyBorder="1" applyAlignment="1" applyProtection="1">
      <alignment horizontal="center" vertical="center" wrapText="1"/>
      <protection hidden="1"/>
    </xf>
    <xf numFmtId="0" fontId="23" fillId="14" borderId="38" xfId="2" applyFont="1" applyFill="1" applyBorder="1" applyAlignment="1" applyProtection="1">
      <alignment horizontal="center" vertical="center" wrapText="1"/>
      <protection hidden="1"/>
    </xf>
    <xf numFmtId="0" fontId="23" fillId="14" borderId="40" xfId="2" applyFont="1" applyFill="1" applyBorder="1" applyAlignment="1" applyProtection="1">
      <alignment horizontal="center" vertical="center" wrapText="1"/>
      <protection hidden="1"/>
    </xf>
    <xf numFmtId="0" fontId="23" fillId="14" borderId="22" xfId="2" applyFont="1" applyFill="1" applyBorder="1" applyAlignment="1" applyProtection="1">
      <alignment horizontal="left" vertical="center" wrapText="1"/>
      <protection hidden="1"/>
    </xf>
    <xf numFmtId="0" fontId="23" fillId="14" borderId="24" xfId="2" applyFont="1" applyFill="1" applyBorder="1" applyAlignment="1" applyProtection="1">
      <alignment horizontal="center" vertical="center" wrapText="1"/>
      <protection hidden="1"/>
    </xf>
    <xf numFmtId="0" fontId="27" fillId="10" borderId="26" xfId="2" applyFont="1" applyFill="1" applyBorder="1" applyAlignment="1" applyProtection="1">
      <alignment horizontal="center" vertical="center" wrapText="1"/>
      <protection hidden="1"/>
    </xf>
    <xf numFmtId="0" fontId="31" fillId="10" borderId="27" xfId="2" applyFont="1" applyFill="1" applyBorder="1" applyAlignment="1" applyProtection="1">
      <alignment horizontal="center" vertical="center" wrapText="1"/>
      <protection hidden="1"/>
    </xf>
    <xf numFmtId="0" fontId="28" fillId="6" borderId="26" xfId="0" applyFont="1" applyFill="1" applyBorder="1" applyAlignment="1" applyProtection="1">
      <alignment horizontal="center" vertical="center" wrapText="1"/>
      <protection hidden="1"/>
    </xf>
    <xf numFmtId="0" fontId="28" fillId="6" borderId="27" xfId="0" applyFont="1" applyFill="1" applyBorder="1" applyAlignment="1" applyProtection="1">
      <alignment horizontal="center" vertical="center" wrapText="1"/>
      <protection hidden="1"/>
    </xf>
    <xf numFmtId="0" fontId="27" fillId="10" borderId="22" xfId="2" applyFont="1" applyFill="1" applyBorder="1" applyAlignment="1" applyProtection="1">
      <alignment horizontal="center" wrapText="1"/>
      <protection hidden="1"/>
    </xf>
    <xf numFmtId="0" fontId="27" fillId="10" borderId="23" xfId="2" applyFont="1" applyFill="1" applyBorder="1" applyAlignment="1" applyProtection="1">
      <alignment horizontal="center" vertical="center" wrapText="1"/>
      <protection hidden="1"/>
    </xf>
    <xf numFmtId="0" fontId="31" fillId="10" borderId="24" xfId="2" applyFont="1" applyFill="1" applyBorder="1" applyAlignment="1" applyProtection="1">
      <alignment horizontal="center" vertical="center" wrapText="1"/>
      <protection hidden="1"/>
    </xf>
    <xf numFmtId="0" fontId="23" fillId="14" borderId="36" xfId="2" applyFont="1" applyFill="1" applyBorder="1" applyAlignment="1" applyProtection="1">
      <alignment vertical="center" wrapText="1"/>
      <protection hidden="1"/>
    </xf>
    <xf numFmtId="0" fontId="28" fillId="16" borderId="26" xfId="0" applyFont="1" applyFill="1" applyBorder="1" applyAlignment="1" applyProtection="1">
      <alignment horizontal="center" vertical="center" wrapText="1"/>
      <protection hidden="1"/>
    </xf>
    <xf numFmtId="0" fontId="28" fillId="16" borderId="27" xfId="0" applyFont="1" applyFill="1" applyBorder="1" applyAlignment="1" applyProtection="1">
      <alignment horizontal="center" vertical="center" wrapText="1"/>
      <protection hidden="1"/>
    </xf>
    <xf numFmtId="0" fontId="28" fillId="3" borderId="26" xfId="0" applyFont="1" applyFill="1" applyBorder="1" applyAlignment="1" applyProtection="1">
      <alignment horizontal="center" vertical="center" wrapText="1"/>
      <protection hidden="1"/>
    </xf>
    <xf numFmtId="0" fontId="28" fillId="3" borderId="27" xfId="0" applyFont="1" applyFill="1" applyBorder="1" applyAlignment="1" applyProtection="1">
      <alignment horizontal="center" vertical="center" wrapText="1"/>
      <protection hidden="1"/>
    </xf>
    <xf numFmtId="0" fontId="28" fillId="5" borderId="26" xfId="0" applyFont="1" applyFill="1" applyBorder="1" applyAlignment="1" applyProtection="1">
      <alignment horizontal="center" vertical="center" wrapText="1"/>
      <protection hidden="1"/>
    </xf>
    <xf numFmtId="0" fontId="28" fillId="5" borderId="27" xfId="0" applyFont="1" applyFill="1" applyBorder="1" applyAlignment="1" applyProtection="1">
      <alignment horizontal="center" vertical="center" wrapText="1"/>
      <protection hidden="1"/>
    </xf>
    <xf numFmtId="0" fontId="28" fillId="13" borderId="26" xfId="0" applyFont="1" applyFill="1" applyBorder="1" applyAlignment="1" applyProtection="1">
      <alignment horizontal="center" vertical="center" wrapText="1"/>
      <protection hidden="1"/>
    </xf>
    <xf numFmtId="0" fontId="28" fillId="13" borderId="27" xfId="0" applyFont="1" applyFill="1" applyBorder="1" applyAlignment="1" applyProtection="1">
      <alignment horizontal="center" vertical="center" wrapText="1"/>
      <protection hidden="1"/>
    </xf>
    <xf numFmtId="0" fontId="28" fillId="29" borderId="26" xfId="0" applyFont="1" applyFill="1" applyBorder="1" applyAlignment="1" applyProtection="1">
      <alignment horizontal="center" vertical="center" wrapText="1"/>
      <protection hidden="1"/>
    </xf>
    <xf numFmtId="0" fontId="28" fillId="29" borderId="27" xfId="0" applyFont="1" applyFill="1" applyBorder="1" applyAlignment="1" applyProtection="1">
      <alignment horizontal="center" vertical="center" wrapText="1"/>
      <protection hidden="1"/>
    </xf>
    <xf numFmtId="0" fontId="28" fillId="7" borderId="26" xfId="0" applyFont="1" applyFill="1" applyBorder="1" applyAlignment="1" applyProtection="1">
      <alignment horizontal="center" vertical="center" wrapText="1"/>
      <protection hidden="1"/>
    </xf>
    <xf numFmtId="0" fontId="28" fillId="7" borderId="27" xfId="0" applyFont="1" applyFill="1" applyBorder="1" applyAlignment="1" applyProtection="1">
      <alignment horizontal="center" vertical="center" wrapText="1"/>
      <protection hidden="1"/>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9" fillId="6" borderId="0" xfId="0" applyFont="1" applyFill="1" applyBorder="1" applyAlignment="1" applyProtection="1">
      <alignment horizontal="left" vertical="center" indent="1"/>
      <protection hidden="1"/>
    </xf>
    <xf numFmtId="0" fontId="21" fillId="2" borderId="0" xfId="2" applyFont="1" applyFill="1" applyBorder="1" applyAlignment="1" applyProtection="1">
      <alignment horizontal="left" wrapText="1"/>
      <protection hidden="1"/>
    </xf>
    <xf numFmtId="10" fontId="6" fillId="9" borderId="41" xfId="2" applyNumberFormat="1" applyFont="1" applyFill="1" applyBorder="1" applyAlignment="1" applyProtection="1">
      <alignment horizontal="center" vertical="center" wrapText="1"/>
      <protection hidden="1"/>
    </xf>
    <xf numFmtId="0" fontId="2" fillId="27" borderId="0" xfId="2" applyFill="1" applyProtection="1">
      <protection hidden="1"/>
    </xf>
    <xf numFmtId="0" fontId="2" fillId="27" borderId="0" xfId="2" applyFill="1" applyBorder="1" applyProtection="1">
      <protection hidden="1"/>
    </xf>
    <xf numFmtId="0" fontId="13" fillId="6" borderId="10" xfId="0" applyFont="1" applyFill="1" applyBorder="1" applyAlignment="1" applyProtection="1">
      <alignment horizontal="center" vertical="center" wrapText="1"/>
      <protection hidden="1"/>
    </xf>
    <xf numFmtId="0" fontId="2" fillId="2" borderId="0" xfId="2" applyFill="1" applyBorder="1" applyAlignment="1" applyProtection="1">
      <alignment horizontal="left" indent="1"/>
      <protection hidden="1"/>
    </xf>
    <xf numFmtId="0" fontId="14" fillId="10" borderId="4" xfId="0" applyFont="1" applyFill="1" applyBorder="1" applyAlignment="1" applyProtection="1">
      <alignment horizontal="center" vertical="center" wrapText="1"/>
      <protection locked="0"/>
    </xf>
    <xf numFmtId="0" fontId="14" fillId="10" borderId="28" xfId="0"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protection hidden="1"/>
    </xf>
    <xf numFmtId="0" fontId="2" fillId="2" borderId="0" xfId="2" applyFill="1" applyBorder="1" applyAlignment="1" applyProtection="1">
      <alignment horizontal="right"/>
      <protection hidden="1"/>
    </xf>
    <xf numFmtId="0" fontId="21" fillId="2" borderId="0" xfId="2" applyFont="1" applyFill="1" applyBorder="1" applyAlignment="1" applyProtection="1">
      <alignment horizontal="left" wrapText="1"/>
      <protection hidden="1"/>
    </xf>
    <xf numFmtId="10" fontId="14" fillId="4" borderId="28" xfId="1" applyNumberFormat="1"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21" fillId="11" borderId="5" xfId="2" applyFont="1" applyFill="1" applyBorder="1" applyAlignment="1" applyProtection="1">
      <alignment horizontal="center" vertical="center"/>
      <protection hidden="1"/>
    </xf>
    <xf numFmtId="0" fontId="0" fillId="2" borderId="0" xfId="0" applyFill="1" applyProtection="1">
      <protection hidden="1"/>
    </xf>
    <xf numFmtId="0" fontId="10" fillId="2" borderId="0" xfId="0" applyFont="1" applyFill="1" applyBorder="1" applyAlignment="1" applyProtection="1">
      <alignment horizontal="left" vertical="center" indent="1"/>
      <protection hidden="1"/>
    </xf>
    <xf numFmtId="0" fontId="38" fillId="2" borderId="0" xfId="0" applyFont="1" applyFill="1" applyBorder="1" applyAlignment="1" applyProtection="1">
      <alignment vertical="center"/>
      <protection hidden="1"/>
    </xf>
    <xf numFmtId="0" fontId="38" fillId="29" borderId="0" xfId="0" applyFont="1" applyFill="1" applyBorder="1" applyAlignment="1" applyProtection="1">
      <alignment horizontal="left" vertical="center" indent="1"/>
      <protection hidden="1"/>
    </xf>
    <xf numFmtId="0" fontId="38" fillId="29" borderId="0" xfId="0" applyFont="1" applyFill="1" applyBorder="1" applyAlignment="1" applyProtection="1">
      <alignment vertical="center"/>
      <protection hidden="1"/>
    </xf>
    <xf numFmtId="0" fontId="19" fillId="29" borderId="27" xfId="2" applyFont="1" applyFill="1" applyBorder="1" applyAlignment="1" applyProtection="1">
      <alignment horizontal="center" vertical="center" wrapText="1"/>
      <protection hidden="1"/>
    </xf>
    <xf numFmtId="0" fontId="4" fillId="29" borderId="41" xfId="0" applyFont="1" applyFill="1" applyBorder="1" applyAlignment="1" applyProtection="1">
      <alignment horizontal="center" vertical="center"/>
      <protection hidden="1"/>
    </xf>
    <xf numFmtId="0" fontId="21" fillId="11" borderId="24" xfId="2" applyFont="1" applyFill="1" applyBorder="1" applyAlignment="1" applyProtection="1">
      <alignment horizontal="center" vertical="center"/>
      <protection hidden="1"/>
    </xf>
    <xf numFmtId="0" fontId="19" fillId="29" borderId="40" xfId="2" applyFont="1" applyFill="1" applyBorder="1" applyAlignment="1" applyProtection="1">
      <alignment horizontal="center" vertical="center" wrapText="1"/>
      <protection hidden="1"/>
    </xf>
    <xf numFmtId="0" fontId="21" fillId="11" borderId="27" xfId="2" applyFont="1" applyFill="1" applyBorder="1" applyAlignment="1" applyProtection="1">
      <alignment horizontal="center" vertical="center"/>
      <protection hidden="1"/>
    </xf>
    <xf numFmtId="0" fontId="16" fillId="29" borderId="41" xfId="0" applyFont="1" applyFill="1" applyBorder="1" applyAlignment="1" applyProtection="1">
      <alignment horizontal="center" vertical="center"/>
      <protection hidden="1"/>
    </xf>
    <xf numFmtId="0" fontId="114" fillId="2" borderId="0" xfId="2" applyFont="1" applyFill="1" applyProtection="1">
      <protection hidden="1"/>
    </xf>
    <xf numFmtId="0" fontId="114" fillId="22" borderId="0" xfId="2" applyFont="1" applyFill="1" applyProtection="1">
      <protection hidden="1"/>
    </xf>
    <xf numFmtId="0" fontId="2" fillId="22" borderId="0" xfId="2" applyFill="1" applyAlignment="1" applyProtection="1">
      <alignment horizontal="center"/>
      <protection hidden="1"/>
    </xf>
    <xf numFmtId="0" fontId="112" fillId="29" borderId="66" xfId="6" applyFont="1" applyFill="1" applyBorder="1" applyAlignment="1">
      <alignment horizontal="center" vertical="center"/>
    </xf>
    <xf numFmtId="0" fontId="21" fillId="2" borderId="0" xfId="2" applyFont="1" applyFill="1" applyProtection="1">
      <protection hidden="1"/>
    </xf>
    <xf numFmtId="0" fontId="2" fillId="24" borderId="0" xfId="2" applyFill="1" applyProtection="1">
      <protection hidden="1"/>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2" fillId="27" borderId="0" xfId="2" applyFont="1" applyFill="1" applyBorder="1" applyProtection="1">
      <protection hidden="1"/>
    </xf>
    <xf numFmtId="0" fontId="0" fillId="27" borderId="0" xfId="0" applyFill="1" applyProtection="1">
      <protection hidden="1"/>
    </xf>
    <xf numFmtId="0" fontId="14" fillId="10" borderId="4" xfId="0" applyFont="1" applyFill="1" applyBorder="1" applyAlignment="1" applyProtection="1">
      <alignment horizontal="center" vertical="center" wrapText="1"/>
      <protection hidden="1"/>
    </xf>
    <xf numFmtId="0" fontId="2" fillId="2" borderId="0" xfId="2" applyFill="1" applyAlignment="1" applyProtection="1">
      <alignment horizontal="right"/>
      <protection hidden="1"/>
    </xf>
    <xf numFmtId="0" fontId="21" fillId="2" borderId="0" xfId="0" applyFont="1" applyFill="1" applyBorder="1" applyAlignment="1" applyProtection="1">
      <alignment horizontal="left" vertical="center" wrapText="1"/>
      <protection hidden="1"/>
    </xf>
    <xf numFmtId="0" fontId="14" fillId="20" borderId="55" xfId="0" applyFont="1" applyFill="1" applyBorder="1" applyAlignment="1" applyProtection="1">
      <alignment horizontal="center" vertical="center" wrapText="1"/>
      <protection locked="0"/>
    </xf>
    <xf numFmtId="0" fontId="14" fillId="20" borderId="56"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1"/>
      <protection hidden="1"/>
    </xf>
    <xf numFmtId="0" fontId="0" fillId="23" borderId="0" xfId="0" applyFill="1" applyProtection="1">
      <protection hidden="1"/>
    </xf>
    <xf numFmtId="9" fontId="14" fillId="20" borderId="4" xfId="1" applyFont="1" applyFill="1" applyBorder="1" applyProtection="1">
      <protection locked="0"/>
    </xf>
    <xf numFmtId="9" fontId="14" fillId="20" borderId="4" xfId="1" applyFont="1" applyFill="1" applyBorder="1" applyAlignment="1" applyProtection="1">
      <alignment horizontal="center"/>
      <protection locked="0"/>
    </xf>
    <xf numFmtId="0" fontId="2" fillId="23" borderId="0" xfId="2" applyFill="1" applyAlignment="1" applyProtection="1">
      <alignment horizontal="center"/>
      <protection hidden="1"/>
    </xf>
    <xf numFmtId="167" fontId="14" fillId="20" borderId="4" xfId="0" applyNumberFormat="1" applyFont="1" applyFill="1" applyBorder="1" applyAlignment="1" applyProtection="1">
      <alignment horizontal="center" vertical="center" wrapText="1"/>
      <protection locked="0"/>
    </xf>
    <xf numFmtId="10" fontId="14" fillId="4" borderId="28" xfId="1" applyNumberFormat="1" applyFont="1" applyFill="1" applyBorder="1" applyAlignment="1" applyProtection="1">
      <alignment horizontal="center" vertical="center" wrapText="1"/>
      <protection hidden="1"/>
    </xf>
    <xf numFmtId="2" fontId="21" fillId="9" borderId="4" xfId="6" applyNumberFormat="1" applyFont="1" applyFill="1" applyBorder="1" applyAlignment="1" applyProtection="1">
      <alignment horizontal="center" vertical="center"/>
      <protection hidden="1"/>
    </xf>
    <xf numFmtId="0" fontId="14" fillId="20" borderId="4" xfId="1" applyNumberFormat="1" applyFont="1" applyFill="1" applyBorder="1" applyAlignment="1" applyProtection="1">
      <alignment horizontal="center"/>
      <protection locked="0"/>
    </xf>
    <xf numFmtId="165" fontId="2" fillId="23" borderId="0" xfId="2" applyNumberFormat="1" applyFill="1" applyProtection="1">
      <protection hidden="1"/>
    </xf>
    <xf numFmtId="0" fontId="14" fillId="15" borderId="71" xfId="0" applyFont="1" applyFill="1" applyBorder="1" applyAlignment="1">
      <alignment horizontal="center" vertical="center" wrapText="1"/>
    </xf>
    <xf numFmtId="10" fontId="14" fillId="15" borderId="72" xfId="0" applyNumberFormat="1" applyFont="1" applyFill="1" applyBorder="1" applyAlignment="1">
      <alignment horizontal="center" vertical="center" wrapText="1"/>
    </xf>
    <xf numFmtId="3" fontId="14" fillId="15" borderId="71" xfId="0" applyNumberFormat="1" applyFont="1" applyFill="1" applyBorder="1" applyAlignment="1">
      <alignment horizontal="center" vertical="center" wrapText="1"/>
    </xf>
    <xf numFmtId="3" fontId="14" fillId="15" borderId="73" xfId="0" applyNumberFormat="1" applyFont="1" applyFill="1" applyBorder="1" applyAlignment="1">
      <alignment horizontal="center" vertical="center" wrapText="1"/>
    </xf>
    <xf numFmtId="10" fontId="14" fillId="15" borderId="74" xfId="0" applyNumberFormat="1" applyFont="1" applyFill="1" applyBorder="1" applyAlignment="1">
      <alignment horizontal="center" vertical="center" wrapText="1"/>
    </xf>
    <xf numFmtId="0" fontId="47" fillId="29" borderId="69" xfId="0" applyFont="1" applyFill="1" applyBorder="1" applyAlignment="1">
      <alignment horizontal="center" vertical="center"/>
    </xf>
    <xf numFmtId="0" fontId="47" fillId="29" borderId="70" xfId="0" applyFont="1" applyFill="1" applyBorder="1" applyAlignment="1">
      <alignment horizontal="center" vertical="center"/>
    </xf>
    <xf numFmtId="0" fontId="0" fillId="11"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14" fillId="20" borderId="55" xfId="0" applyFont="1" applyFill="1" applyBorder="1" applyAlignment="1" applyProtection="1">
      <alignment horizontal="center" vertical="center" wrapText="1"/>
      <protection locked="0"/>
    </xf>
    <xf numFmtId="0" fontId="14" fillId="20" borderId="56" xfId="0"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wrapText="1"/>
      <protection hidden="1"/>
    </xf>
    <xf numFmtId="0" fontId="21" fillId="2" borderId="0" xfId="2" applyFont="1" applyFill="1" applyBorder="1" applyAlignment="1" applyProtection="1">
      <alignment horizontal="left"/>
      <protection hidden="1"/>
    </xf>
    <xf numFmtId="0" fontId="100" fillId="2" borderId="0" xfId="2" applyFont="1" applyFill="1" applyProtection="1">
      <protection hidden="1"/>
    </xf>
    <xf numFmtId="0" fontId="0" fillId="10" borderId="0" xfId="0" applyFont="1" applyFill="1" applyProtection="1">
      <protection hidden="1"/>
    </xf>
    <xf numFmtId="0" fontId="123" fillId="10" borderId="0" xfId="0" applyFont="1" applyFill="1" applyProtection="1">
      <protection hidden="1"/>
    </xf>
    <xf numFmtId="0" fontId="73" fillId="10" borderId="0" xfId="0" applyFont="1" applyFill="1" applyProtection="1">
      <protection hidden="1"/>
    </xf>
    <xf numFmtId="0" fontId="0" fillId="11" borderId="0" xfId="0" applyFont="1" applyFill="1" applyBorder="1"/>
    <xf numFmtId="0" fontId="74" fillId="6" borderId="0" xfId="2" applyFont="1" applyFill="1"/>
    <xf numFmtId="0" fontId="74" fillId="11" borderId="0" xfId="2" applyFont="1" applyFill="1"/>
    <xf numFmtId="3" fontId="127" fillId="20" borderId="4" xfId="0" applyNumberFormat="1"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wrapText="1"/>
      <protection hidden="1"/>
    </xf>
    <xf numFmtId="0" fontId="13" fillId="6" borderId="7" xfId="0" applyFont="1" applyFill="1" applyBorder="1" applyAlignment="1" applyProtection="1">
      <alignment horizontal="center" vertical="center" wrapText="1"/>
      <protection hidden="1"/>
    </xf>
    <xf numFmtId="0" fontId="111" fillId="2" borderId="0" xfId="0" applyFont="1" applyFill="1" applyAlignment="1">
      <alignment horizontal="left" vertical="center" wrapText="1" indent="7"/>
    </xf>
    <xf numFmtId="0" fontId="2" fillId="20" borderId="5" xfId="2" applyFont="1" applyFill="1" applyBorder="1" applyAlignment="1" applyProtection="1">
      <alignment horizontal="center" vertical="center"/>
      <protection locked="0"/>
    </xf>
    <xf numFmtId="0" fontId="20" fillId="2" borderId="0" xfId="2" applyFont="1" applyFill="1" applyBorder="1" applyAlignment="1"/>
    <xf numFmtId="0" fontId="42" fillId="19" borderId="0" xfId="0" applyFont="1" applyFill="1" applyAlignment="1" applyProtection="1">
      <alignment vertical="center" wrapText="1"/>
      <protection hidden="1"/>
    </xf>
    <xf numFmtId="0" fontId="137" fillId="11" borderId="0" xfId="0" applyFont="1" applyFill="1" applyAlignment="1" applyProtection="1">
      <protection hidden="1"/>
    </xf>
    <xf numFmtId="0" fontId="0" fillId="7" borderId="0" xfId="0" applyFill="1" applyAlignment="1">
      <alignment horizontal="center"/>
    </xf>
    <xf numFmtId="0" fontId="8" fillId="4" borderId="4" xfId="0" applyFont="1" applyFill="1" applyBorder="1" applyAlignment="1">
      <alignment vertical="center"/>
    </xf>
    <xf numFmtId="0" fontId="8" fillId="4" borderId="34" xfId="0" applyFont="1" applyFill="1" applyBorder="1" applyAlignment="1">
      <alignment vertical="center"/>
    </xf>
    <xf numFmtId="0" fontId="2" fillId="11" borderId="30" xfId="2" applyFont="1" applyFill="1" applyBorder="1"/>
    <xf numFmtId="0" fontId="21" fillId="2" borderId="0" xfId="2" applyFont="1" applyFill="1" applyBorder="1" applyAlignment="1" applyProtection="1">
      <protection hidden="1"/>
    </xf>
    <xf numFmtId="0" fontId="14" fillId="20" borderId="3" xfId="0" applyFont="1" applyFill="1" applyBorder="1" applyAlignment="1" applyProtection="1">
      <alignment horizontal="center" vertical="center" wrapText="1"/>
      <protection locked="0"/>
    </xf>
    <xf numFmtId="0" fontId="19" fillId="29" borderId="26" xfId="2" applyFont="1" applyFill="1" applyBorder="1" applyAlignment="1" applyProtection="1">
      <alignment horizontal="center" vertical="center" wrapText="1"/>
      <protection hidden="1"/>
    </xf>
    <xf numFmtId="0" fontId="2" fillId="2" borderId="0" xfId="2" applyFill="1" applyBorder="1" applyAlignment="1" applyProtection="1">
      <alignment vertical="center"/>
      <protection hidden="1"/>
    </xf>
    <xf numFmtId="0" fontId="8" fillId="11" borderId="0" xfId="2" applyFont="1" applyFill="1" applyBorder="1"/>
    <xf numFmtId="0" fontId="8" fillId="11" borderId="0" xfId="2" applyFont="1" applyFill="1"/>
    <xf numFmtId="0" fontId="19" fillId="16" borderId="26"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1" fillId="2" borderId="0"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3" fontId="8" fillId="20" borderId="10" xfId="0" applyNumberFormat="1" applyFont="1" applyFill="1" applyBorder="1" applyAlignment="1" applyProtection="1">
      <alignment horizontal="center" vertical="center"/>
      <protection locked="0"/>
    </xf>
    <xf numFmtId="3" fontId="8" fillId="20" borderId="8" xfId="0" applyNumberFormat="1" applyFont="1" applyFill="1" applyBorder="1" applyAlignment="1" applyProtection="1">
      <alignment horizontal="center" vertical="center"/>
      <protection locked="0"/>
    </xf>
    <xf numFmtId="0" fontId="43"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45" fillId="2" borderId="0" xfId="0" applyFont="1" applyFill="1" applyAlignment="1" applyProtection="1">
      <alignment horizontal="left" vertical="top" wrapText="1"/>
      <protection hidden="1"/>
    </xf>
    <xf numFmtId="0" fontId="0" fillId="2" borderId="0" xfId="0" applyFill="1" applyAlignment="1" applyProtection="1">
      <alignment horizontal="left" vertical="top"/>
      <protection hidden="1"/>
    </xf>
    <xf numFmtId="0" fontId="104" fillId="2" borderId="0" xfId="0" applyFont="1" applyFill="1"/>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101" fillId="2" borderId="0" xfId="0" applyFont="1" applyFill="1" applyAlignment="1" applyProtection="1">
      <alignment horizontal="left" vertical="top" wrapText="1"/>
      <protection hidden="1"/>
    </xf>
    <xf numFmtId="0" fontId="101" fillId="2" borderId="0" xfId="0" applyFont="1" applyFill="1" applyAlignment="1" applyProtection="1">
      <alignment horizontal="left" vertical="center" wrapText="1"/>
      <protection hidden="1"/>
    </xf>
    <xf numFmtId="0" fontId="0" fillId="2" borderId="0" xfId="0" applyFont="1" applyFill="1" applyAlignment="1" applyProtection="1">
      <alignment horizontal="left" indent="1"/>
      <protection hidden="1"/>
    </xf>
    <xf numFmtId="0" fontId="0" fillId="2" borderId="0" xfId="0" applyFont="1" applyFill="1" applyProtection="1">
      <protection hidden="1"/>
    </xf>
    <xf numFmtId="0" fontId="0" fillId="2" borderId="0" xfId="0" applyFont="1" applyFill="1" applyAlignment="1" applyProtection="1">
      <alignment horizontal="left" indent="2"/>
      <protection hidden="1"/>
    </xf>
    <xf numFmtId="0" fontId="72" fillId="2" borderId="0" xfId="0" applyFont="1" applyFill="1" applyProtection="1">
      <protection hidden="1"/>
    </xf>
    <xf numFmtId="0" fontId="73" fillId="2" borderId="0" xfId="0" applyFont="1" applyFill="1" applyProtection="1">
      <protection hidden="1"/>
    </xf>
    <xf numFmtId="0" fontId="74" fillId="2" borderId="0" xfId="0" applyFont="1" applyFill="1" applyProtection="1">
      <protection hidden="1"/>
    </xf>
    <xf numFmtId="0" fontId="75" fillId="2" borderId="0" xfId="0" applyFont="1" applyFill="1" applyProtection="1">
      <protection hidden="1"/>
    </xf>
    <xf numFmtId="0" fontId="76" fillId="2" borderId="0" xfId="0" applyFont="1" applyFill="1" applyProtection="1">
      <protection hidden="1"/>
    </xf>
    <xf numFmtId="0" fontId="0" fillId="2" borderId="0" xfId="0" applyFont="1" applyFill="1" applyAlignment="1" applyProtection="1">
      <alignment vertical="top"/>
      <protection hidden="1"/>
    </xf>
    <xf numFmtId="0" fontId="77" fillId="2" borderId="0" xfId="0" applyFont="1" applyFill="1" applyProtection="1">
      <protection hidden="1"/>
    </xf>
    <xf numFmtId="0" fontId="74" fillId="2" borderId="0" xfId="0" applyFont="1" applyFill="1" applyAlignment="1" applyProtection="1">
      <alignment vertical="center" wrapText="1"/>
      <protection hidden="1"/>
    </xf>
    <xf numFmtId="0" fontId="0" fillId="2" borderId="0" xfId="0" applyFont="1" applyFill="1" applyAlignment="1" applyProtection="1">
      <alignment vertical="top" wrapText="1"/>
      <protection hidden="1"/>
    </xf>
    <xf numFmtId="0" fontId="41" fillId="2" borderId="0" xfId="0" applyFont="1" applyFill="1" applyProtection="1">
      <protection hidden="1"/>
    </xf>
    <xf numFmtId="0" fontId="26" fillId="2" borderId="0" xfId="3" applyFont="1" applyFill="1" applyAlignment="1" applyProtection="1">
      <alignment vertical="top"/>
      <protection hidden="1"/>
    </xf>
    <xf numFmtId="0" fontId="0" fillId="2" borderId="0" xfId="0" applyFont="1" applyFill="1" applyAlignment="1" applyProtection="1">
      <alignment horizontal="left" vertical="top" wrapText="1"/>
      <protection hidden="1"/>
    </xf>
    <xf numFmtId="0" fontId="0" fillId="2" borderId="0" xfId="0" applyFont="1" applyFill="1"/>
    <xf numFmtId="0" fontId="0" fillId="2" borderId="0" xfId="0" applyFont="1" applyFill="1" applyBorder="1"/>
    <xf numFmtId="0" fontId="23"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3" fontId="14" fillId="20" borderId="41" xfId="0" applyNumberFormat="1" applyFont="1" applyFill="1" applyBorder="1" applyAlignment="1" applyProtection="1">
      <alignment horizontal="center" vertical="center" wrapText="1"/>
      <protection locked="0"/>
    </xf>
    <xf numFmtId="0" fontId="20" fillId="2" borderId="88" xfId="2" applyFont="1" applyFill="1" applyBorder="1" applyAlignment="1" applyProtection="1">
      <protection hidden="1"/>
    </xf>
    <xf numFmtId="0" fontId="20" fillId="2" borderId="0" xfId="2" applyFont="1" applyFill="1" applyAlignment="1" applyProtection="1">
      <protection hidden="1"/>
    </xf>
    <xf numFmtId="0" fontId="2" fillId="2" borderId="0" xfId="2" applyFill="1" applyAlignment="1" applyProtection="1">
      <alignment vertical="center"/>
      <protection hidden="1"/>
    </xf>
    <xf numFmtId="2" fontId="21" fillId="2" borderId="0" xfId="2" applyNumberFormat="1" applyFont="1" applyFill="1" applyAlignment="1" applyProtection="1">
      <alignment horizontal="left" vertical="center"/>
      <protection hidden="1"/>
    </xf>
    <xf numFmtId="0" fontId="7" fillId="2" borderId="0" xfId="2" applyFont="1" applyFill="1" applyBorder="1" applyProtection="1">
      <protection hidden="1"/>
    </xf>
    <xf numFmtId="0" fontId="19" fillId="29" borderId="23" xfId="2" applyFont="1" applyFill="1" applyBorder="1" applyAlignment="1" applyProtection="1">
      <alignment horizontal="center" vertical="center" wrapText="1"/>
      <protection hidden="1"/>
    </xf>
    <xf numFmtId="0" fontId="2" fillId="2" borderId="0" xfId="2" applyFont="1" applyFill="1" applyBorder="1" applyAlignment="1" applyProtection="1">
      <alignment vertical="center"/>
      <protection hidden="1"/>
    </xf>
    <xf numFmtId="0" fontId="64" fillId="2" borderId="0" xfId="2" applyFont="1" applyFill="1" applyBorder="1" applyAlignment="1" applyProtection="1">
      <alignment horizontal="left" vertical="center" wrapText="1" indent="6"/>
      <protection hidden="1"/>
    </xf>
    <xf numFmtId="0" fontId="46" fillId="2" borderId="0" xfId="2" applyFont="1" applyFill="1" applyBorder="1" applyAlignment="1" applyProtection="1">
      <alignment horizontal="left" indent="3"/>
      <protection hidden="1"/>
    </xf>
    <xf numFmtId="0" fontId="21" fillId="2" borderId="0" xfId="2" applyFont="1" applyFill="1" applyBorder="1" applyAlignment="1" applyProtection="1">
      <alignment vertical="center"/>
      <protection hidden="1"/>
    </xf>
    <xf numFmtId="0" fontId="2" fillId="2" borderId="0" xfId="2" applyFont="1" applyFill="1" applyBorder="1" applyAlignment="1" applyProtection="1">
      <alignment horizontal="left" vertical="center" wrapText="1" indent="4"/>
      <protection hidden="1"/>
    </xf>
    <xf numFmtId="0" fontId="2" fillId="10" borderId="37" xfId="2" applyFill="1" applyBorder="1" applyProtection="1">
      <protection hidden="1"/>
    </xf>
    <xf numFmtId="0" fontId="2" fillId="10" borderId="38" xfId="2" applyFill="1" applyBorder="1" applyProtection="1">
      <protection hidden="1"/>
    </xf>
    <xf numFmtId="0" fontId="2" fillId="10" borderId="0" xfId="2" applyFill="1" applyBorder="1" applyProtection="1">
      <protection hidden="1"/>
    </xf>
    <xf numFmtId="0" fontId="2" fillId="10" borderId="40" xfId="2" applyFill="1" applyBorder="1" applyProtection="1">
      <protection hidden="1"/>
    </xf>
    <xf numFmtId="0" fontId="2" fillId="10" borderId="23" xfId="2" applyFill="1" applyBorder="1" applyProtection="1">
      <protection hidden="1"/>
    </xf>
    <xf numFmtId="0" fontId="2" fillId="10" borderId="24" xfId="2" applyFill="1" applyBorder="1" applyProtection="1">
      <protection hidden="1"/>
    </xf>
    <xf numFmtId="0" fontId="2" fillId="10" borderId="40" xfId="2" applyFill="1" applyBorder="1" applyAlignment="1" applyProtection="1">
      <alignment horizontal="left" indent="1"/>
      <protection hidden="1"/>
    </xf>
    <xf numFmtId="0" fontId="2" fillId="10" borderId="24" xfId="2" applyFill="1" applyBorder="1" applyAlignment="1" applyProtection="1">
      <alignment horizontal="left" indent="1"/>
      <protection hidden="1"/>
    </xf>
    <xf numFmtId="0" fontId="2" fillId="10" borderId="37" xfId="2" applyFill="1" applyBorder="1" applyAlignment="1" applyProtection="1">
      <alignment horizontal="left" indent="1"/>
      <protection hidden="1"/>
    </xf>
    <xf numFmtId="0" fontId="2" fillId="10" borderId="38" xfId="2" applyFill="1" applyBorder="1" applyAlignment="1" applyProtection="1">
      <alignment horizontal="left" indent="1"/>
      <protection hidden="1"/>
    </xf>
    <xf numFmtId="0" fontId="2" fillId="10" borderId="0" xfId="2" applyFill="1" applyBorder="1" applyAlignment="1" applyProtection="1">
      <alignment horizontal="left" indent="1"/>
      <protection hidden="1"/>
    </xf>
    <xf numFmtId="0" fontId="2" fillId="10" borderId="23" xfId="2" applyFill="1" applyBorder="1" applyAlignment="1" applyProtection="1">
      <alignment horizontal="left" indent="1"/>
      <protection hidden="1"/>
    </xf>
    <xf numFmtId="0" fontId="2" fillId="20" borderId="66" xfId="6" applyFont="1" applyFill="1" applyBorder="1" applyAlignment="1" applyProtection="1">
      <alignment horizontal="center"/>
      <protection locked="0"/>
    </xf>
    <xf numFmtId="0" fontId="0" fillId="20" borderId="66" xfId="0" applyFill="1" applyBorder="1" applyAlignment="1" applyProtection="1">
      <alignment horizontal="center"/>
      <protection locked="0"/>
    </xf>
    <xf numFmtId="0" fontId="21" fillId="20" borderId="66" xfId="6" applyFont="1" applyFill="1" applyBorder="1" applyAlignment="1" applyProtection="1">
      <alignment horizontal="center"/>
      <protection locked="0"/>
    </xf>
    <xf numFmtId="0" fontId="2" fillId="20" borderId="66" xfId="6" applyFill="1" applyBorder="1" applyAlignment="1" applyProtection="1">
      <alignment horizontal="center"/>
      <protection locked="0"/>
    </xf>
    <xf numFmtId="2" fontId="2" fillId="10" borderId="66" xfId="6" applyNumberFormat="1" applyFont="1" applyFill="1" applyBorder="1" applyAlignment="1" applyProtection="1">
      <alignment horizontal="center"/>
      <protection hidden="1"/>
    </xf>
    <xf numFmtId="9" fontId="0" fillId="20" borderId="66" xfId="1" applyFont="1" applyFill="1" applyBorder="1" applyAlignment="1" applyProtection="1">
      <alignment horizontal="center"/>
      <protection locked="0"/>
    </xf>
    <xf numFmtId="9" fontId="2" fillId="20" borderId="66" xfId="1" applyFont="1" applyFill="1" applyBorder="1" applyAlignment="1" applyProtection="1">
      <alignment horizontal="center"/>
      <protection locked="0"/>
    </xf>
    <xf numFmtId="0" fontId="2" fillId="10" borderId="66" xfId="6" applyFont="1" applyFill="1" applyBorder="1" applyAlignment="1" applyProtection="1">
      <alignment horizontal="center"/>
      <protection hidden="1"/>
    </xf>
    <xf numFmtId="166" fontId="2" fillId="10" borderId="66" xfId="6" applyNumberFormat="1" applyFont="1" applyFill="1" applyBorder="1" applyAlignment="1" applyProtection="1">
      <alignment horizontal="center"/>
      <protection hidden="1"/>
    </xf>
    <xf numFmtId="166" fontId="21" fillId="4" borderId="66" xfId="6" applyNumberFormat="1" applyFont="1" applyFill="1" applyBorder="1" applyAlignment="1" applyProtection="1">
      <alignment horizontal="center"/>
      <protection hidden="1"/>
    </xf>
    <xf numFmtId="0" fontId="20" fillId="2" borderId="0" xfId="2" applyFont="1" applyFill="1" applyBorder="1" applyAlignment="1" applyProtection="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15" borderId="0" xfId="0" applyFont="1" applyFill="1" applyBorder="1" applyAlignment="1">
      <alignment horizontal="center" vertical="center" wrapText="1"/>
    </xf>
    <xf numFmtId="0" fontId="14" fillId="20" borderId="4" xfId="0" applyNumberFormat="1" applyFont="1" applyFill="1" applyBorder="1" applyAlignment="1" applyProtection="1">
      <alignment horizontal="center" vertical="center" wrapText="1"/>
      <protection locked="0"/>
    </xf>
    <xf numFmtId="0" fontId="19" fillId="3" borderId="26" xfId="2" applyFont="1" applyFill="1" applyBorder="1" applyAlignment="1" applyProtection="1">
      <alignment horizontal="center" vertical="center" wrapText="1"/>
      <protection hidden="1"/>
    </xf>
    <xf numFmtId="0" fontId="19" fillId="5" borderId="26" xfId="2" applyFont="1" applyFill="1" applyBorder="1" applyAlignment="1" applyProtection="1">
      <alignment horizontal="center" vertical="center" wrapText="1"/>
      <protection hidden="1"/>
    </xf>
    <xf numFmtId="0" fontId="2" fillId="2" borderId="0" xfId="2" applyFill="1" applyBorder="1" applyAlignment="1" applyProtection="1">
      <alignment wrapText="1"/>
      <protection hidden="1"/>
    </xf>
    <xf numFmtId="0" fontId="14" fillId="15" borderId="4" xfId="0" applyFont="1" applyFill="1" applyBorder="1" applyAlignment="1">
      <alignment horizontal="left" vertical="center" wrapText="1" indent="2"/>
    </xf>
    <xf numFmtId="0" fontId="8" fillId="4" borderId="4" xfId="2" applyFont="1" applyFill="1" applyBorder="1" applyAlignment="1" applyProtection="1">
      <alignment horizontal="center" vertical="center"/>
      <protection hidden="1"/>
    </xf>
    <xf numFmtId="0" fontId="8" fillId="4" borderId="4" xfId="2" applyFont="1" applyFill="1" applyBorder="1" applyAlignment="1" applyProtection="1">
      <alignment horizontal="center" vertical="center" wrapText="1"/>
      <protection hidden="1"/>
    </xf>
    <xf numFmtId="0" fontId="95" fillId="2" borderId="0" xfId="2" applyFont="1" applyFill="1" applyAlignment="1" applyProtection="1">
      <alignment vertical="center"/>
      <protection hidden="1"/>
    </xf>
    <xf numFmtId="0" fontId="95" fillId="2" borderId="23" xfId="2" applyFont="1" applyFill="1" applyBorder="1" applyAlignment="1" applyProtection="1">
      <alignment vertical="center"/>
      <protection hidden="1"/>
    </xf>
    <xf numFmtId="0" fontId="21" fillId="22" borderId="2" xfId="2" applyFont="1" applyFill="1" applyBorder="1" applyAlignment="1" applyProtection="1">
      <alignment horizontal="center" vertical="center"/>
      <protection hidden="1"/>
    </xf>
    <xf numFmtId="0" fontId="21" fillId="22" borderId="1" xfId="2" applyFont="1" applyFill="1" applyBorder="1" applyAlignment="1" applyProtection="1">
      <alignment horizontal="center" vertical="center"/>
      <protection hidden="1"/>
    </xf>
    <xf numFmtId="10" fontId="21" fillId="22" borderId="1" xfId="2" applyNumberFormat="1" applyFont="1" applyFill="1" applyBorder="1" applyAlignment="1" applyProtection="1">
      <alignment horizontal="center" vertical="center"/>
      <protection hidden="1"/>
    </xf>
    <xf numFmtId="0" fontId="74" fillId="2" borderId="0" xfId="0" applyFont="1" applyFill="1" applyAlignment="1" applyProtection="1">
      <alignment horizontal="left" indent="11"/>
      <protection hidden="1"/>
    </xf>
    <xf numFmtId="0" fontId="14" fillId="15" borderId="4" xfId="0" applyFont="1" applyFill="1" applyBorder="1" applyAlignment="1">
      <alignment horizontal="center" vertical="center" wrapText="1"/>
    </xf>
    <xf numFmtId="0" fontId="2" fillId="2" borderId="3" xfId="2" applyFill="1" applyBorder="1" applyProtection="1">
      <protection hidden="1"/>
    </xf>
    <xf numFmtId="10" fontId="6" fillId="9" borderId="4" xfId="2" applyNumberFormat="1" applyFont="1" applyFill="1" applyBorder="1" applyAlignment="1" applyProtection="1">
      <alignment horizontal="center" vertical="center" wrapText="1"/>
      <protection hidden="1"/>
    </xf>
    <xf numFmtId="0" fontId="11" fillId="3" borderId="10" xfId="2" applyFont="1" applyFill="1" applyBorder="1" applyAlignment="1" applyProtection="1">
      <alignment horizontal="center" vertical="center" wrapText="1"/>
      <protection hidden="1"/>
    </xf>
    <xf numFmtId="0" fontId="14" fillId="20" borderId="32" xfId="0" applyFont="1" applyFill="1" applyBorder="1" applyAlignment="1" applyProtection="1">
      <alignment vertical="center" wrapText="1"/>
      <protection locked="0"/>
    </xf>
    <xf numFmtId="0" fontId="14" fillId="4" borderId="60" xfId="0" applyFont="1" applyFill="1" applyBorder="1" applyAlignment="1" applyProtection="1">
      <alignment horizontal="center" vertical="center" wrapText="1"/>
      <protection hidden="1"/>
    </xf>
    <xf numFmtId="2" fontId="8" fillId="9" borderId="4" xfId="1" applyNumberFormat="1" applyFont="1" applyFill="1" applyBorder="1" applyAlignment="1" applyProtection="1">
      <alignment horizontal="center" vertical="center"/>
      <protection hidden="1"/>
    </xf>
    <xf numFmtId="0" fontId="2" fillId="10" borderId="36" xfId="2" applyFont="1" applyFill="1" applyBorder="1" applyAlignment="1" applyProtection="1">
      <alignment horizontal="left" indent="6"/>
      <protection hidden="1"/>
    </xf>
    <xf numFmtId="0" fontId="2" fillId="10" borderId="36" xfId="2" applyFill="1" applyBorder="1" applyAlignment="1" applyProtection="1">
      <alignment horizontal="left" indent="6"/>
      <protection hidden="1"/>
    </xf>
    <xf numFmtId="0" fontId="2" fillId="10" borderId="39" xfId="2" applyFill="1" applyBorder="1" applyAlignment="1" applyProtection="1">
      <alignment horizontal="left" indent="7"/>
      <protection hidden="1"/>
    </xf>
    <xf numFmtId="0" fontId="2" fillId="10" borderId="22" xfId="2" applyFill="1" applyBorder="1" applyAlignment="1" applyProtection="1">
      <alignment horizontal="left" indent="8"/>
      <protection hidden="1"/>
    </xf>
    <xf numFmtId="0" fontId="74" fillId="2" borderId="0" xfId="0" applyFont="1" applyFill="1" applyAlignment="1" applyProtection="1">
      <alignment horizontal="left" indent="8"/>
      <protection hidden="1"/>
    </xf>
    <xf numFmtId="0" fontId="74" fillId="2" borderId="0" xfId="0" applyFont="1" applyFill="1" applyAlignment="1" applyProtection="1">
      <alignment horizontal="left"/>
      <protection hidden="1"/>
    </xf>
    <xf numFmtId="0" fontId="47" fillId="21" borderId="8"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3" fillId="21"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14" fillId="15" borderId="4" xfId="0" applyFont="1" applyFill="1" applyBorder="1" applyAlignment="1">
      <alignment horizontal="center" vertical="center" wrapText="1"/>
    </xf>
    <xf numFmtId="0" fontId="11" fillId="29" borderId="8" xfId="6" applyFont="1" applyFill="1" applyBorder="1" applyAlignment="1">
      <alignment horizontal="center" vertical="center"/>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2" fillId="10" borderId="36" xfId="2" applyFill="1" applyBorder="1" applyAlignment="1" applyProtection="1">
      <alignment horizontal="left" indent="7"/>
      <protection hidden="1"/>
    </xf>
    <xf numFmtId="0" fontId="2" fillId="10" borderId="39" xfId="2" applyFill="1" applyBorder="1" applyAlignment="1" applyProtection="1">
      <alignment horizontal="left" indent="8"/>
      <protection hidden="1"/>
    </xf>
    <xf numFmtId="0" fontId="2" fillId="10" borderId="36" xfId="2" applyFill="1" applyBorder="1" applyAlignment="1" applyProtection="1">
      <alignment horizontal="left" indent="8"/>
      <protection hidden="1"/>
    </xf>
    <xf numFmtId="0" fontId="2" fillId="10" borderId="39" xfId="2" applyFill="1" applyBorder="1" applyAlignment="1" applyProtection="1">
      <alignment horizontal="left" indent="10"/>
      <protection hidden="1"/>
    </xf>
    <xf numFmtId="0" fontId="2" fillId="10" borderId="22" xfId="2" applyFill="1" applyBorder="1" applyAlignment="1" applyProtection="1">
      <alignment horizontal="left" indent="10"/>
      <protection hidden="1"/>
    </xf>
    <xf numFmtId="0" fontId="2" fillId="10" borderId="37" xfId="2" applyFill="1" applyBorder="1" applyAlignment="1" applyProtection="1">
      <alignment horizontal="left" indent="5"/>
      <protection hidden="1"/>
    </xf>
    <xf numFmtId="0" fontId="2" fillId="10" borderId="38" xfId="2" applyFill="1" applyBorder="1" applyAlignment="1" applyProtection="1">
      <alignment horizontal="left" indent="5"/>
      <protection hidden="1"/>
    </xf>
    <xf numFmtId="0" fontId="2" fillId="10" borderId="40" xfId="2" applyFill="1" applyBorder="1" applyAlignment="1" applyProtection="1">
      <alignment horizontal="left" indent="8"/>
      <protection hidden="1"/>
    </xf>
    <xf numFmtId="0" fontId="2" fillId="10" borderId="37" xfId="2" applyFill="1" applyBorder="1" applyAlignment="1" applyProtection="1">
      <alignment horizontal="left" indent="6"/>
      <protection hidden="1"/>
    </xf>
    <xf numFmtId="0" fontId="2" fillId="10" borderId="38" xfId="2" applyFill="1" applyBorder="1" applyAlignment="1" applyProtection="1">
      <alignment horizontal="left" indent="6"/>
      <protection hidden="1"/>
    </xf>
    <xf numFmtId="0" fontId="2" fillId="10" borderId="36" xfId="2" applyFont="1" applyFill="1" applyBorder="1" applyAlignment="1" applyProtection="1">
      <alignment horizontal="left" indent="7"/>
      <protection hidden="1"/>
    </xf>
    <xf numFmtId="0" fontId="2" fillId="10" borderId="22" xfId="2" applyFont="1" applyFill="1" applyBorder="1" applyAlignment="1" applyProtection="1">
      <alignment horizontal="left" indent="8"/>
      <protection hidden="1"/>
    </xf>
    <xf numFmtId="0" fontId="14" fillId="15" borderId="4" xfId="0" applyFont="1" applyFill="1" applyBorder="1" applyAlignment="1">
      <alignment vertical="center" wrapText="1"/>
    </xf>
    <xf numFmtId="0" fontId="2" fillId="20" borderId="4" xfId="0" applyFont="1" applyFill="1" applyBorder="1" applyAlignment="1" applyProtection="1">
      <alignment horizontal="center" vertical="center"/>
      <protection locked="0"/>
    </xf>
    <xf numFmtId="165" fontId="8" fillId="9" borderId="0" xfId="1" applyNumberFormat="1" applyFont="1" applyFill="1" applyBorder="1" applyAlignment="1" applyProtection="1">
      <alignment horizontal="center" vertical="center" wrapText="1"/>
      <protection hidden="1"/>
    </xf>
    <xf numFmtId="0" fontId="148" fillId="11" borderId="0" xfId="0" applyFont="1" applyFill="1" applyAlignment="1" applyProtection="1">
      <alignment vertical="center"/>
      <protection hidden="1"/>
    </xf>
    <xf numFmtId="0" fontId="149" fillId="11" borderId="0" xfId="0" applyFont="1" applyFill="1" applyAlignment="1" applyProtection="1">
      <alignment vertical="center"/>
      <protection hidden="1"/>
    </xf>
    <xf numFmtId="0" fontId="150" fillId="12" borderId="0" xfId="2" applyFont="1" applyFill="1" applyBorder="1" applyAlignment="1" applyProtection="1">
      <alignment horizontal="left" vertical="center" wrapText="1"/>
      <protection hidden="1"/>
    </xf>
    <xf numFmtId="0" fontId="147" fillId="11" borderId="0" xfId="0" applyFont="1" applyFill="1" applyProtection="1">
      <protection hidden="1"/>
    </xf>
    <xf numFmtId="0" fontId="2" fillId="2" borderId="0" xfId="2" applyFill="1" applyAlignment="1" applyProtection="1">
      <alignment horizontal="left" indent="6"/>
      <protection hidden="1"/>
    </xf>
    <xf numFmtId="0" fontId="2" fillId="10" borderId="0" xfId="2" applyFill="1" applyBorder="1" applyAlignment="1" applyProtection="1">
      <alignment horizontal="left" indent="8"/>
      <protection hidden="1"/>
    </xf>
    <xf numFmtId="0" fontId="2" fillId="23" borderId="0" xfId="2" applyFill="1" applyAlignment="1" applyProtection="1">
      <alignment horizontal="left" indent="6"/>
      <protection hidden="1"/>
    </xf>
    <xf numFmtId="0" fontId="2" fillId="23" borderId="0" xfId="2" applyFill="1" applyAlignment="1" applyProtection="1">
      <alignment horizontal="left" indent="7"/>
      <protection hidden="1"/>
    </xf>
    <xf numFmtId="9" fontId="14" fillId="20" borderId="4" xfId="1" applyFont="1" applyFill="1" applyBorder="1" applyAlignment="1" applyProtection="1">
      <alignment vertical="center"/>
      <protection locked="0"/>
    </xf>
    <xf numFmtId="9" fontId="14" fillId="20" borderId="4" xfId="1" applyFont="1" applyFill="1" applyBorder="1" applyAlignment="1" applyProtection="1">
      <alignment horizontal="center" vertical="center"/>
      <protection locked="0"/>
    </xf>
    <xf numFmtId="0" fontId="14" fillId="20" borderId="4" xfId="1" applyNumberFormat="1" applyFont="1" applyFill="1" applyBorder="1" applyAlignment="1" applyProtection="1">
      <alignment horizontal="center" vertical="center"/>
      <protection locked="0"/>
    </xf>
    <xf numFmtId="9" fontId="14" fillId="20" borderId="28" xfId="1" applyFont="1" applyFill="1" applyBorder="1" applyProtection="1">
      <protection locked="0"/>
    </xf>
    <xf numFmtId="9" fontId="14" fillId="20" borderId="28" xfId="1" applyFont="1" applyFill="1" applyBorder="1" applyAlignment="1" applyProtection="1">
      <alignment horizontal="center"/>
      <protection locked="0"/>
    </xf>
    <xf numFmtId="0" fontId="14" fillId="20" borderId="28" xfId="1" applyNumberFormat="1" applyFont="1" applyFill="1" applyBorder="1" applyAlignment="1" applyProtection="1">
      <alignment horizontal="center"/>
      <protection locked="0"/>
    </xf>
    <xf numFmtId="0" fontId="11" fillId="29" borderId="7" xfId="6" applyFont="1" applyFill="1" applyBorder="1" applyAlignment="1">
      <alignment horizontal="center" vertical="center"/>
    </xf>
    <xf numFmtId="0" fontId="11" fillId="29" borderId="7" xfId="6" applyFont="1" applyFill="1" applyBorder="1" applyAlignment="1">
      <alignment horizontal="center" vertical="center" wrapText="1"/>
    </xf>
    <xf numFmtId="9" fontId="14" fillId="20" borderId="28" xfId="1" applyFont="1" applyFill="1" applyBorder="1" applyAlignment="1" applyProtection="1">
      <alignment vertical="center"/>
      <protection locked="0"/>
    </xf>
    <xf numFmtId="9" fontId="14" fillId="20" borderId="28" xfId="1" applyFont="1" applyFill="1" applyBorder="1" applyAlignment="1" applyProtection="1">
      <alignment horizontal="center" vertical="center"/>
      <protection locked="0"/>
    </xf>
    <xf numFmtId="0" fontId="14" fillId="20" borderId="28" xfId="1" applyNumberFormat="1" applyFont="1" applyFill="1" applyBorder="1" applyAlignment="1" applyProtection="1">
      <alignment horizontal="center" vertical="center"/>
      <protection locked="0"/>
    </xf>
    <xf numFmtId="0" fontId="21" fillId="10" borderId="1" xfId="2" applyFont="1" applyFill="1" applyBorder="1" applyAlignment="1" applyProtection="1">
      <alignment horizontal="center" vertical="center"/>
      <protection hidden="1"/>
    </xf>
    <xf numFmtId="0" fontId="2" fillId="10" borderId="22" xfId="2" applyFill="1" applyBorder="1" applyAlignment="1" applyProtection="1">
      <alignment horizontal="left" indent="7"/>
      <protection hidden="1"/>
    </xf>
    <xf numFmtId="0" fontId="2" fillId="2" borderId="0" xfId="2" applyFont="1" applyFill="1" applyBorder="1" applyAlignment="1" applyProtection="1">
      <alignment horizontal="left" vertical="center" indent="5"/>
      <protection hidden="1"/>
    </xf>
    <xf numFmtId="0" fontId="2" fillId="2" borderId="0" xfId="2" applyFont="1" applyFill="1" applyBorder="1" applyAlignment="1" applyProtection="1">
      <alignment horizontal="left" vertical="center" indent="6"/>
      <protection hidden="1"/>
    </xf>
    <xf numFmtId="0" fontId="2" fillId="2" borderId="0" xfId="2" applyFill="1" applyBorder="1" applyAlignment="1" applyProtection="1">
      <alignment horizontal="left" vertical="center" indent="6"/>
      <protection hidden="1"/>
    </xf>
    <xf numFmtId="0" fontId="21" fillId="2" borderId="0" xfId="2" applyFont="1" applyFill="1" applyBorder="1" applyAlignment="1">
      <alignment horizontal="left" indent="6"/>
    </xf>
    <xf numFmtId="0" fontId="23" fillId="14" borderId="40" xfId="2"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11" fillId="2" borderId="0" xfId="0" applyFont="1" applyFill="1" applyAlignment="1">
      <alignment horizontal="left" vertical="center" wrapText="1" indent="7"/>
    </xf>
    <xf numFmtId="0" fontId="53" fillId="10" borderId="10"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4"/>
      <protection hidden="1"/>
    </xf>
    <xf numFmtId="0" fontId="21" fillId="2" borderId="0" xfId="2" applyFont="1" applyFill="1" applyBorder="1" applyAlignment="1" applyProtection="1">
      <alignment horizontal="left" indent="5"/>
      <protection hidden="1"/>
    </xf>
    <xf numFmtId="0" fontId="2" fillId="2" borderId="0" xfId="2" applyFont="1" applyFill="1" applyBorder="1" applyAlignment="1" applyProtection="1">
      <alignment horizontal="left" vertical="center"/>
      <protection hidden="1"/>
    </xf>
    <xf numFmtId="0" fontId="2" fillId="10" borderId="39" xfId="2" applyFill="1" applyBorder="1" applyAlignment="1" applyProtection="1">
      <alignment horizontal="left" indent="6"/>
      <protection hidden="1"/>
    </xf>
    <xf numFmtId="0" fontId="2" fillId="10" borderId="39" xfId="2" applyFill="1" applyBorder="1" applyAlignment="1" applyProtection="1">
      <alignment horizontal="left" indent="9"/>
      <protection hidden="1"/>
    </xf>
    <xf numFmtId="0" fontId="21" fillId="2" borderId="0" xfId="0" applyFont="1" applyFill="1" applyBorder="1" applyAlignment="1" applyProtection="1">
      <alignment horizontal="left" vertical="center" wrapText="1" indent="5"/>
      <protection hidden="1"/>
    </xf>
    <xf numFmtId="0" fontId="2" fillId="10" borderId="39" xfId="2" applyFont="1" applyFill="1" applyBorder="1" applyAlignment="1" applyProtection="1">
      <alignment horizontal="left" indent="7"/>
      <protection hidden="1"/>
    </xf>
    <xf numFmtId="0" fontId="2" fillId="10" borderId="0" xfId="2" applyFill="1" applyBorder="1" applyAlignment="1" applyProtection="1">
      <alignment horizontal="left" indent="6"/>
      <protection hidden="1"/>
    </xf>
    <xf numFmtId="0" fontId="2" fillId="10" borderId="40" xfId="2" applyFill="1" applyBorder="1" applyAlignment="1" applyProtection="1">
      <alignment horizontal="left" indent="6"/>
      <protection hidden="1"/>
    </xf>
    <xf numFmtId="0" fontId="2" fillId="10" borderId="0" xfId="2" applyFont="1" applyFill="1" applyBorder="1" applyAlignment="1" applyProtection="1">
      <alignment horizontal="left" indent="6"/>
      <protection hidden="1"/>
    </xf>
    <xf numFmtId="0" fontId="2" fillId="10" borderId="40" xfId="2" applyFont="1" applyFill="1" applyBorder="1" applyAlignment="1" applyProtection="1">
      <alignment horizontal="left" indent="6"/>
      <protection hidden="1"/>
    </xf>
    <xf numFmtId="0" fontId="2" fillId="10" borderId="39" xfId="2" applyFont="1" applyFill="1" applyBorder="1" applyAlignment="1" applyProtection="1">
      <alignment horizontal="left" vertical="center" indent="8"/>
      <protection hidden="1"/>
    </xf>
    <xf numFmtId="0" fontId="111" fillId="10" borderId="0" xfId="0" applyFont="1" applyFill="1" applyBorder="1" applyAlignment="1">
      <alignment horizontal="left" vertical="center" wrapText="1" indent="15"/>
    </xf>
    <xf numFmtId="0" fontId="111" fillId="10" borderId="40" xfId="0" applyFont="1" applyFill="1" applyBorder="1" applyAlignment="1">
      <alignment horizontal="left" vertical="center" wrapText="1" indent="15"/>
    </xf>
    <xf numFmtId="0" fontId="2" fillId="10" borderId="39" xfId="2" quotePrefix="1" applyFill="1" applyBorder="1" applyAlignment="1" applyProtection="1">
      <alignment horizontal="left" indent="8"/>
      <protection hidden="1"/>
    </xf>
    <xf numFmtId="0" fontId="2" fillId="10" borderId="37" xfId="2" applyFill="1" applyBorder="1" applyAlignment="1" applyProtection="1">
      <alignment horizontal="left" vertical="center" wrapText="1"/>
      <protection hidden="1"/>
    </xf>
    <xf numFmtId="0" fontId="2" fillId="10" borderId="38" xfId="2" applyFill="1" applyBorder="1" applyAlignment="1" applyProtection="1">
      <alignment horizontal="left" vertical="center" wrapText="1"/>
      <protection hidden="1"/>
    </xf>
    <xf numFmtId="0" fontId="2" fillId="10" borderId="0" xfId="2" applyFill="1" applyBorder="1" applyAlignment="1" applyProtection="1">
      <alignment horizontal="left" vertical="center" wrapText="1"/>
      <protection hidden="1"/>
    </xf>
    <xf numFmtId="0" fontId="2" fillId="10" borderId="40" xfId="2" applyFill="1" applyBorder="1" applyAlignment="1" applyProtection="1">
      <alignment horizontal="left" vertical="center" wrapText="1"/>
      <protection hidden="1"/>
    </xf>
    <xf numFmtId="0" fontId="2" fillId="10" borderId="0" xfId="2" applyFont="1" applyFill="1" applyBorder="1" applyAlignment="1" applyProtection="1">
      <alignment horizontal="left" vertical="center" wrapText="1" indent="8"/>
      <protection hidden="1"/>
    </xf>
    <xf numFmtId="0" fontId="2" fillId="10" borderId="23" xfId="2" applyFont="1" applyFill="1" applyBorder="1" applyAlignment="1" applyProtection="1">
      <alignment horizontal="left" vertical="center" wrapText="1" indent="8"/>
      <protection hidden="1"/>
    </xf>
    <xf numFmtId="0" fontId="2" fillId="10" borderId="24" xfId="2" applyFont="1" applyFill="1" applyBorder="1" applyAlignment="1" applyProtection="1">
      <alignment horizontal="left" vertical="center" wrapText="1" indent="8"/>
      <protection hidden="1"/>
    </xf>
    <xf numFmtId="0" fontId="2" fillId="10" borderId="39" xfId="2" applyFont="1" applyFill="1" applyBorder="1" applyAlignment="1" applyProtection="1">
      <alignment horizontal="left" vertical="center" wrapText="1" indent="8"/>
      <protection hidden="1"/>
    </xf>
    <xf numFmtId="0" fontId="2" fillId="10" borderId="40" xfId="2" applyFont="1" applyFill="1" applyBorder="1" applyAlignment="1" applyProtection="1">
      <alignment horizontal="left" vertical="center" wrapText="1" indent="8"/>
      <protection hidden="1"/>
    </xf>
    <xf numFmtId="10" fontId="53" fillId="10" borderId="4" xfId="0" applyNumberFormat="1" applyFont="1" applyFill="1" applyBorder="1" applyAlignment="1" applyProtection="1">
      <alignment horizontal="center" vertical="center"/>
      <protection hidden="1"/>
    </xf>
    <xf numFmtId="10" fontId="21" fillId="22" borderId="24" xfId="2" applyNumberFormat="1" applyFont="1" applyFill="1" applyBorder="1" applyAlignment="1" applyProtection="1">
      <alignment horizontal="center" vertical="center"/>
      <protection hidden="1"/>
    </xf>
    <xf numFmtId="0" fontId="19" fillId="7" borderId="26" xfId="2"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wrapText="1"/>
      <protection hidden="1"/>
    </xf>
    <xf numFmtId="0" fontId="14" fillId="20" borderId="4"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21" fillId="22" borderId="0" xfId="2" applyFont="1" applyFill="1" applyAlignment="1" applyProtection="1">
      <alignment horizontal="left" indent="5"/>
      <protection hidden="1"/>
    </xf>
    <xf numFmtId="0" fontId="2" fillId="10" borderId="37" xfId="2" applyFont="1" applyFill="1" applyBorder="1" applyProtection="1">
      <protection hidden="1"/>
    </xf>
    <xf numFmtId="0" fontId="2" fillId="10" borderId="38" xfId="2" applyFont="1" applyFill="1" applyBorder="1" applyProtection="1">
      <protection hidden="1"/>
    </xf>
    <xf numFmtId="0" fontId="2" fillId="10" borderId="0" xfId="2" applyFont="1" applyFill="1" applyBorder="1" applyProtection="1">
      <protection hidden="1"/>
    </xf>
    <xf numFmtId="0" fontId="2" fillId="10" borderId="40" xfId="2" applyFont="1" applyFill="1" applyBorder="1" applyProtection="1">
      <protection hidden="1"/>
    </xf>
    <xf numFmtId="0" fontId="2" fillId="10" borderId="23" xfId="2" applyFont="1" applyFill="1" applyBorder="1" applyProtection="1">
      <protection hidden="1"/>
    </xf>
    <xf numFmtId="0" fontId="2" fillId="10" borderId="24"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21" fillId="2" borderId="0" xfId="0" applyFont="1" applyFill="1" applyAlignment="1">
      <alignment horizontal="left" vertical="center" indent="6"/>
    </xf>
    <xf numFmtId="0" fontId="2" fillId="2" borderId="0" xfId="0" applyFont="1" applyFill="1" applyAlignment="1">
      <alignment horizontal="left" vertical="center" indent="6"/>
    </xf>
    <xf numFmtId="0" fontId="2" fillId="2" borderId="0" xfId="2" applyFont="1" applyFill="1" applyAlignment="1" applyProtection="1">
      <alignment horizontal="left" vertical="center" indent="5"/>
      <protection hidden="1"/>
    </xf>
    <xf numFmtId="0" fontId="2" fillId="2" borderId="0" xfId="2" applyFill="1" applyBorder="1" applyProtection="1">
      <protection locked="0" hidden="1"/>
    </xf>
    <xf numFmtId="0" fontId="2" fillId="2" borderId="35" xfId="2" applyFill="1" applyBorder="1" applyProtection="1">
      <protection hidden="1"/>
    </xf>
    <xf numFmtId="0" fontId="2" fillId="2" borderId="7" xfId="2" applyFill="1" applyBorder="1" applyProtection="1">
      <protection hidden="1"/>
    </xf>
    <xf numFmtId="0" fontId="21" fillId="2" borderId="0" xfId="2" applyFont="1" applyFill="1" applyBorder="1" applyAlignment="1" applyProtection="1">
      <alignment horizontal="left" indent="6"/>
      <protection hidden="1"/>
    </xf>
    <xf numFmtId="0" fontId="6" fillId="2" borderId="0" xfId="0" applyFont="1" applyFill="1" applyBorder="1" applyAlignment="1" applyProtection="1">
      <alignment vertical="center"/>
      <protection hidden="1"/>
    </xf>
    <xf numFmtId="0" fontId="20" fillId="2" borderId="0" xfId="2" applyFont="1" applyFill="1" applyBorder="1" applyAlignment="1" applyProtection="1">
      <alignment horizontal="left" vertical="center" indent="5"/>
      <protection hidden="1"/>
    </xf>
    <xf numFmtId="0" fontId="2" fillId="27" borderId="0" xfId="2" applyFont="1" applyFill="1" applyBorder="1" applyAlignment="1" applyProtection="1">
      <alignment horizontal="left" indent="1"/>
      <protection hidden="1"/>
    </xf>
    <xf numFmtId="0" fontId="2" fillId="27" borderId="0" xfId="2" applyFont="1" applyFill="1" applyBorder="1" applyAlignment="1" applyProtection="1">
      <alignment horizontal="left" vertical="center" indent="6"/>
      <protection hidden="1"/>
    </xf>
    <xf numFmtId="0" fontId="2" fillId="27" borderId="0" xfId="2" applyFill="1" applyBorder="1" applyAlignment="1" applyProtection="1">
      <alignment horizontal="left" indent="1"/>
      <protection hidden="1"/>
    </xf>
    <xf numFmtId="0" fontId="2" fillId="4" borderId="32" xfId="0" applyFont="1" applyFill="1" applyBorder="1" applyAlignment="1" applyProtection="1">
      <alignment horizontal="right" vertical="center" wrapText="1"/>
      <protection hidden="1"/>
    </xf>
    <xf numFmtId="0" fontId="8" fillId="9" borderId="41" xfId="1" applyNumberFormat="1" applyFont="1" applyFill="1" applyBorder="1" applyAlignment="1" applyProtection="1">
      <alignment horizontal="center" vertical="center" wrapText="1"/>
      <protection hidden="1"/>
    </xf>
    <xf numFmtId="0" fontId="19" fillId="6" borderId="26" xfId="2" applyFont="1" applyFill="1" applyBorder="1" applyAlignment="1" applyProtection="1">
      <alignment horizontal="center" vertical="center" wrapText="1"/>
      <protection hidden="1"/>
    </xf>
    <xf numFmtId="0" fontId="19" fillId="6" borderId="85" xfId="2"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 fillId="2" borderId="0" xfId="2" applyFill="1" applyBorder="1" applyAlignment="1" applyProtection="1">
      <alignment horizontal="left" indent="5"/>
      <protection hidden="1"/>
    </xf>
    <xf numFmtId="0" fontId="2" fillId="2" borderId="0" xfId="2" applyFill="1" applyBorder="1" applyAlignment="1" applyProtection="1">
      <alignment horizontal="left" vertical="center" indent="5"/>
      <protection hidden="1"/>
    </xf>
    <xf numFmtId="0" fontId="20" fillId="2" borderId="0" xfId="0" applyFont="1" applyFill="1" applyBorder="1" applyAlignment="1" applyProtection="1">
      <alignment horizontal="left" vertical="center" wrapText="1" indent="5"/>
      <protection hidden="1"/>
    </xf>
    <xf numFmtId="0" fontId="23"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167" fontId="14" fillId="20" borderId="4" xfId="0" applyNumberFormat="1" applyFont="1" applyFill="1" applyBorder="1" applyAlignment="1" applyProtection="1">
      <alignment horizontal="center" vertical="center" wrapText="1"/>
      <protection locked="0"/>
    </xf>
    <xf numFmtId="168" fontId="14" fillId="20" borderId="4" xfId="0" applyNumberFormat="1" applyFont="1" applyFill="1" applyBorder="1" applyAlignment="1" applyProtection="1">
      <alignment horizontal="center" vertical="center" wrapText="1"/>
      <protection locked="0"/>
    </xf>
    <xf numFmtId="0" fontId="2" fillId="4" borderId="4" xfId="4" applyNumberFormat="1" applyFont="1" applyFill="1" applyBorder="1" applyAlignment="1" applyProtection="1">
      <alignment horizontal="center"/>
      <protection hidden="1"/>
    </xf>
    <xf numFmtId="165" fontId="6" fillId="9" borderId="4" xfId="2" applyNumberFormat="1" applyFont="1" applyFill="1" applyBorder="1" applyAlignment="1" applyProtection="1">
      <alignment horizontal="center" vertical="center" wrapText="1"/>
      <protection hidden="1"/>
    </xf>
    <xf numFmtId="2" fontId="21" fillId="9" borderId="4" xfId="4" applyNumberFormat="1"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6"/>
      <protection hidden="1"/>
    </xf>
    <xf numFmtId="0" fontId="14" fillId="10" borderId="33"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left" vertical="center" wrapText="1"/>
      <protection hidden="1"/>
    </xf>
    <xf numFmtId="0" fontId="2" fillId="2" borderId="0" xfId="2" applyFont="1" applyFill="1" applyBorder="1" applyAlignment="1">
      <alignment horizontal="center" vertical="center"/>
    </xf>
    <xf numFmtId="0" fontId="14" fillId="20" borderId="4" xfId="0" applyFont="1" applyFill="1" applyBorder="1" applyAlignment="1" applyProtection="1">
      <alignment horizontal="center" vertical="center" wrapText="1"/>
      <protection locked="0"/>
    </xf>
    <xf numFmtId="0" fontId="14" fillId="20" borderId="55" xfId="0"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wrapText="1"/>
      <protection hidden="1"/>
    </xf>
    <xf numFmtId="167" fontId="14" fillId="20" borderId="4" xfId="0" applyNumberFormat="1" applyFont="1" applyFill="1" applyBorder="1" applyAlignment="1" applyProtection="1">
      <alignment horizontal="center" vertical="center" wrapText="1"/>
      <protection locked="0"/>
    </xf>
    <xf numFmtId="0" fontId="2" fillId="2" borderId="0" xfId="2" applyFont="1" applyFill="1" applyBorder="1" applyAlignment="1">
      <alignment horizontal="left" indent="6"/>
    </xf>
    <xf numFmtId="0" fontId="21" fillId="2" borderId="0" xfId="2" applyFont="1" applyFill="1" applyBorder="1" applyAlignment="1">
      <alignment horizontal="left" indent="5"/>
    </xf>
    <xf numFmtId="0" fontId="19" fillId="29" borderId="24" xfId="2" applyFont="1" applyFill="1" applyBorder="1" applyAlignment="1" applyProtection="1">
      <alignment horizontal="center" vertical="center" wrapText="1"/>
      <protection hidden="1"/>
    </xf>
    <xf numFmtId="0" fontId="20" fillId="2" borderId="0" xfId="2" applyFont="1" applyFill="1" applyAlignment="1" applyProtection="1">
      <alignment horizontal="left" indent="5"/>
      <protection hidden="1"/>
    </xf>
    <xf numFmtId="0" fontId="20" fillId="22" borderId="0" xfId="2" applyFont="1" applyFill="1" applyAlignment="1" applyProtection="1">
      <alignment horizontal="left" indent="5"/>
      <protection hidden="1"/>
    </xf>
    <xf numFmtId="0" fontId="2" fillId="10" borderId="39" xfId="2" applyFont="1" applyFill="1" applyBorder="1" applyAlignment="1" applyProtection="1">
      <alignment horizontal="left" indent="9"/>
      <protection hidden="1"/>
    </xf>
    <xf numFmtId="0" fontId="2" fillId="10" borderId="22" xfId="2" applyFont="1" applyFill="1" applyBorder="1" applyAlignment="1" applyProtection="1">
      <alignment horizontal="left" indent="9"/>
      <protection hidden="1"/>
    </xf>
    <xf numFmtId="0" fontId="20" fillId="2" borderId="0" xfId="2" applyFont="1" applyFill="1" applyBorder="1" applyAlignment="1" applyProtection="1">
      <alignment horizontal="left" indent="6"/>
      <protection hidden="1"/>
    </xf>
    <xf numFmtId="0" fontId="21" fillId="2" borderId="0" xfId="2" applyFont="1" applyFill="1" applyBorder="1" applyAlignment="1" applyProtection="1">
      <alignment horizontal="left" vertical="center" indent="5"/>
      <protection hidden="1"/>
    </xf>
    <xf numFmtId="0" fontId="20" fillId="2" borderId="0" xfId="2" applyFont="1" applyFill="1" applyAlignment="1" applyProtection="1">
      <alignment horizontal="left" vertical="center" indent="5"/>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10" fontId="14" fillId="4" borderId="28" xfId="1" applyNumberFormat="1" applyFont="1" applyFill="1" applyBorder="1" applyAlignment="1" applyProtection="1">
      <alignment horizontal="center" vertical="center" wrapText="1"/>
      <protection hidden="1"/>
    </xf>
    <xf numFmtId="0" fontId="2" fillId="2" borderId="0" xfId="2" applyFill="1" applyBorder="1" applyAlignment="1" applyProtection="1">
      <alignment horizontal="left" wrapText="1"/>
      <protection hidden="1"/>
    </xf>
    <xf numFmtId="0" fontId="21" fillId="2" borderId="30" xfId="2" applyFont="1" applyFill="1" applyBorder="1" applyAlignment="1" applyProtection="1">
      <alignment horizontal="left" wrapText="1"/>
      <protection hidden="1"/>
    </xf>
    <xf numFmtId="0" fontId="2" fillId="2" borderId="0" xfId="2" applyFont="1" applyFill="1" applyAlignment="1" applyProtection="1">
      <alignment vertical="center"/>
      <protection hidden="1"/>
    </xf>
    <xf numFmtId="0" fontId="2" fillId="10" borderId="39" xfId="2" applyFont="1" applyFill="1" applyBorder="1" applyAlignment="1" applyProtection="1">
      <alignment horizontal="left" indent="8"/>
      <protection hidden="1"/>
    </xf>
    <xf numFmtId="0" fontId="21" fillId="22" borderId="0" xfId="2" applyFont="1" applyFill="1" applyBorder="1" applyAlignment="1" applyProtection="1">
      <alignment horizontal="left" indent="5"/>
      <protection hidden="1"/>
    </xf>
    <xf numFmtId="0" fontId="20" fillId="22" borderId="0" xfId="2" applyFont="1" applyFill="1" applyBorder="1" applyAlignment="1" applyProtection="1">
      <alignment horizontal="left" vertical="center" indent="5"/>
      <protection hidden="1"/>
    </xf>
    <xf numFmtId="0" fontId="14" fillId="20" borderId="10" xfId="0" applyNumberFormat="1" applyFont="1" applyFill="1" applyBorder="1" applyAlignment="1" applyProtection="1">
      <alignment horizontal="center" vertical="center" wrapText="1"/>
      <protection locked="0"/>
    </xf>
    <xf numFmtId="0" fontId="20" fillId="23" borderId="0" xfId="2" applyFont="1" applyFill="1" applyBorder="1" applyAlignment="1" applyProtection="1">
      <alignment horizontal="left" vertical="center" indent="5"/>
      <protection hidden="1"/>
    </xf>
    <xf numFmtId="0" fontId="14" fillId="2" borderId="0" xfId="0" applyFont="1" applyFill="1" applyAlignment="1">
      <alignment wrapText="1"/>
    </xf>
    <xf numFmtId="0" fontId="21" fillId="2" borderId="0" xfId="2" applyFont="1" applyFill="1" applyAlignment="1" applyProtection="1">
      <alignment horizontal="left" indent="5"/>
      <protection hidden="1"/>
    </xf>
    <xf numFmtId="0" fontId="0" fillId="2" borderId="0" xfId="0" applyFont="1" applyFill="1" applyAlignment="1" applyProtection="1">
      <alignment horizontal="left" vertical="top" wrapText="1" indent="2"/>
      <protection hidden="1"/>
    </xf>
    <xf numFmtId="0" fontId="0" fillId="2"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2" fillId="2" borderId="0" xfId="2" applyFill="1" applyAlignment="1" applyProtection="1">
      <alignment horizontal="left"/>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55" xfId="0" applyFont="1" applyFill="1" applyBorder="1" applyAlignment="1" applyProtection="1">
      <alignment horizontal="center" vertical="center" wrapText="1"/>
      <protection locked="0"/>
    </xf>
    <xf numFmtId="0" fontId="11" fillId="29" borderId="57" xfId="0" applyFont="1" applyFill="1" applyBorder="1" applyAlignment="1" applyProtection="1">
      <alignment horizontal="center" vertical="center" wrapText="1"/>
      <protection hidden="1"/>
    </xf>
    <xf numFmtId="0" fontId="11" fillId="29" borderId="7" xfId="0" applyFont="1" applyFill="1" applyBorder="1" applyAlignment="1" applyProtection="1">
      <alignment horizontal="center" vertical="center" wrapText="1"/>
      <protection hidden="1"/>
    </xf>
    <xf numFmtId="0" fontId="14" fillId="11" borderId="0" xfId="0" applyFont="1" applyFill="1"/>
    <xf numFmtId="0" fontId="18" fillId="11" borderId="15" xfId="0" applyFont="1" applyFill="1" applyBorder="1" applyAlignment="1">
      <alignment horizontal="left" vertical="center"/>
    </xf>
    <xf numFmtId="0" fontId="0" fillId="32" borderId="0" xfId="0" applyFont="1" applyFill="1" applyProtection="1">
      <protection hidden="1"/>
    </xf>
    <xf numFmtId="0" fontId="0" fillId="32" borderId="0" xfId="0" applyFont="1" applyFill="1"/>
    <xf numFmtId="0" fontId="37" fillId="33" borderId="0" xfId="0" applyFont="1" applyFill="1" applyProtection="1">
      <protection hidden="1"/>
    </xf>
    <xf numFmtId="0" fontId="122" fillId="33" borderId="0" xfId="0" applyFont="1" applyFill="1" applyAlignment="1" applyProtection="1">
      <protection hidden="1"/>
    </xf>
    <xf numFmtId="0" fontId="74" fillId="33" borderId="0" xfId="2" applyFont="1" applyFill="1" applyAlignment="1">
      <alignment horizontal="left" indent="1"/>
    </xf>
    <xf numFmtId="0" fontId="74" fillId="33" borderId="0" xfId="2" applyFont="1" applyFill="1"/>
    <xf numFmtId="0" fontId="136" fillId="33" borderId="0" xfId="0" applyFont="1" applyFill="1" applyAlignment="1" applyProtection="1">
      <protection hidden="1"/>
    </xf>
    <xf numFmtId="0" fontId="80" fillId="33" borderId="0" xfId="0" applyFont="1" applyFill="1" applyBorder="1" applyAlignment="1" applyProtection="1">
      <alignment horizontal="left" vertical="center" indent="1"/>
      <protection hidden="1"/>
    </xf>
    <xf numFmtId="0" fontId="37" fillId="33" borderId="0" xfId="0" applyFont="1" applyFill="1" applyBorder="1" applyProtection="1">
      <protection hidden="1"/>
    </xf>
    <xf numFmtId="0" fontId="2" fillId="11" borderId="0" xfId="2" applyFont="1" applyFill="1" applyBorder="1" applyAlignment="1">
      <alignment vertical="center"/>
    </xf>
    <xf numFmtId="0" fontId="18" fillId="0" borderId="0" xfId="0" applyFont="1" applyAlignment="1">
      <alignment vertical="center"/>
    </xf>
    <xf numFmtId="0" fontId="2" fillId="11" borderId="0" xfId="2" applyFont="1" applyFill="1" applyBorder="1" applyAlignment="1">
      <alignment wrapText="1"/>
    </xf>
    <xf numFmtId="0" fontId="18" fillId="0" borderId="0" xfId="0" applyFont="1" applyAlignment="1">
      <alignment wrapText="1"/>
    </xf>
    <xf numFmtId="0" fontId="162" fillId="2" borderId="0" xfId="0" applyFont="1" applyFill="1" applyAlignment="1">
      <alignment horizontal="left" vertical="center" indent="1"/>
    </xf>
    <xf numFmtId="0" fontId="158" fillId="2" borderId="0" xfId="0" applyFont="1" applyFill="1" applyAlignment="1" applyProtection="1">
      <alignment vertical="center"/>
      <protection hidden="1"/>
    </xf>
    <xf numFmtId="0" fontId="22" fillId="33" borderId="0" xfId="0" applyFont="1" applyFill="1" applyBorder="1" applyAlignment="1" applyProtection="1">
      <alignment vertical="center"/>
      <protection hidden="1"/>
    </xf>
    <xf numFmtId="0" fontId="23" fillId="33" borderId="0" xfId="2" applyFont="1" applyFill="1" applyBorder="1" applyAlignment="1" applyProtection="1">
      <alignment wrapText="1"/>
      <protection hidden="1"/>
    </xf>
    <xf numFmtId="0" fontId="0" fillId="2" borderId="0" xfId="0" applyFill="1" applyAlignment="1">
      <alignment horizontal="left" indent="1"/>
    </xf>
    <xf numFmtId="0" fontId="164"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1" fillId="29" borderId="30" xfId="0" applyFont="1" applyFill="1" applyBorder="1" applyAlignment="1" applyProtection="1">
      <alignment horizontal="center" vertical="center" wrapText="1"/>
      <protection hidden="1"/>
    </xf>
    <xf numFmtId="0" fontId="2" fillId="2" borderId="30" xfId="2" applyFill="1" applyBorder="1" applyProtection="1">
      <protection hidden="1"/>
    </xf>
    <xf numFmtId="0" fontId="14" fillId="20" borderId="4"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14" fillId="20" borderId="55" xfId="0" applyFont="1" applyFill="1" applyBorder="1" applyAlignment="1" applyProtection="1">
      <alignment horizontal="center" vertical="center" wrapText="1"/>
      <protection locked="0"/>
    </xf>
    <xf numFmtId="0" fontId="14" fillId="20" borderId="56" xfId="0" applyFont="1" applyFill="1" applyBorder="1" applyAlignment="1" applyProtection="1">
      <alignment horizontal="center" vertical="center" wrapText="1"/>
      <protection locked="0"/>
    </xf>
    <xf numFmtId="0" fontId="11" fillId="29" borderId="95" xfId="0" applyFont="1" applyFill="1" applyBorder="1" applyAlignment="1" applyProtection="1">
      <alignment horizontal="center" vertical="center" wrapText="1"/>
      <protection hidden="1"/>
    </xf>
    <xf numFmtId="0" fontId="11" fillId="29" borderId="7" xfId="0" applyFont="1" applyFill="1" applyBorder="1" applyAlignment="1" applyProtection="1">
      <alignment horizontal="center" vertical="center" wrapText="1"/>
      <protection hidden="1"/>
    </xf>
    <xf numFmtId="0" fontId="11" fillId="29" borderId="57" xfId="0" applyFont="1" applyFill="1" applyBorder="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0" fillId="7" borderId="0" xfId="0" applyFill="1" applyAlignment="1">
      <alignment horizontal="left"/>
    </xf>
    <xf numFmtId="0" fontId="0" fillId="0" borderId="0" xfId="0" applyAlignment="1">
      <alignment horizontal="left"/>
    </xf>
    <xf numFmtId="0" fontId="2" fillId="2" borderId="0" xfId="2" applyFill="1" applyBorder="1" applyAlignment="1">
      <alignment horizontal="left" indent="5"/>
    </xf>
    <xf numFmtId="0" fontId="2" fillId="2" borderId="0" xfId="2" applyFill="1" applyBorder="1" applyAlignment="1">
      <alignment horizontal="left" indent="6"/>
    </xf>
    <xf numFmtId="0" fontId="2" fillId="2" borderId="0" xfId="2" applyFill="1" applyAlignment="1" applyProtection="1">
      <alignment horizontal="left" indent="5"/>
      <protection hidden="1"/>
    </xf>
    <xf numFmtId="0" fontId="2" fillId="2" borderId="0" xfId="2" applyFont="1" applyFill="1" applyBorder="1" applyAlignment="1"/>
    <xf numFmtId="0" fontId="2" fillId="2" borderId="0" xfId="0" applyFont="1" applyFill="1" applyBorder="1" applyAlignment="1" applyProtection="1">
      <alignment horizontal="left" vertical="center" wrapText="1"/>
      <protection hidden="1"/>
    </xf>
    <xf numFmtId="0" fontId="2" fillId="2" borderId="0" xfId="2" applyFont="1" applyFill="1" applyBorder="1" applyAlignment="1" applyProtection="1">
      <alignment horizontal="left" indent="5"/>
      <protection hidden="1"/>
    </xf>
    <xf numFmtId="0" fontId="21" fillId="2" borderId="0"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2" fillId="4" borderId="4" xfId="4" applyNumberFormat="1" applyFont="1" applyFill="1" applyBorder="1" applyAlignment="1" applyProtection="1">
      <alignment horizontal="center" vertical="center"/>
      <protection hidden="1"/>
    </xf>
    <xf numFmtId="0" fontId="2" fillId="20" borderId="4" xfId="4" applyNumberFormat="1" applyFont="1" applyFill="1" applyBorder="1" applyAlignment="1" applyProtection="1">
      <alignment horizontal="center" vertical="center"/>
      <protection locked="0"/>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13" fillId="13" borderId="7" xfId="0" applyFont="1" applyFill="1" applyBorder="1" applyAlignment="1" applyProtection="1">
      <alignment horizontal="center" vertical="center"/>
      <protection hidden="1"/>
    </xf>
    <xf numFmtId="0" fontId="13" fillId="29" borderId="7"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169" fillId="2" borderId="0" xfId="3" applyFont="1" applyFill="1" applyAlignment="1" applyProtection="1">
      <alignment horizontal="center"/>
      <protection hidden="1"/>
    </xf>
    <xf numFmtId="0" fontId="11" fillId="5" borderId="59" xfId="2" applyFont="1" applyFill="1" applyBorder="1" applyAlignment="1" applyProtection="1">
      <alignment horizontal="center" vertical="center"/>
      <protection hidden="1"/>
    </xf>
    <xf numFmtId="0" fontId="2" fillId="2" borderId="0" xfId="2" applyFill="1" applyBorder="1" applyAlignment="1" applyProtection="1">
      <alignment horizontal="left" indent="4"/>
      <protection hidden="1"/>
    </xf>
    <xf numFmtId="0" fontId="2" fillId="2" borderId="0" xfId="2" applyFont="1" applyFill="1" applyBorder="1" applyAlignment="1" applyProtection="1">
      <alignment horizontal="left"/>
      <protection hidden="1"/>
    </xf>
    <xf numFmtId="0" fontId="13" fillId="21" borderId="7" xfId="0" applyFont="1" applyFill="1" applyBorder="1" applyAlignment="1" applyProtection="1">
      <alignment horizontal="center" vertical="center"/>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11" borderId="0" xfId="2" applyFont="1" applyFill="1" applyBorder="1" applyAlignment="1">
      <alignment horizontal="left" vertical="center" wrapText="1"/>
    </xf>
    <xf numFmtId="0" fontId="2" fillId="2" borderId="0" xfId="2" applyFill="1" applyAlignment="1" applyProtection="1">
      <alignment horizontal="left" indent="4"/>
      <protection hidden="1"/>
    </xf>
    <xf numFmtId="0" fontId="170" fillId="2" borderId="0" xfId="2" applyFont="1" applyFill="1" applyAlignment="1" applyProtection="1">
      <alignment horizontal="left" vertical="center" indent="1"/>
      <protection hidden="1"/>
    </xf>
    <xf numFmtId="0" fontId="2" fillId="24" borderId="0" xfId="2" applyFill="1" applyAlignment="1" applyProtection="1">
      <alignment horizontal="left" indent="1"/>
      <protection hidden="1"/>
    </xf>
    <xf numFmtId="0" fontId="2" fillId="24" borderId="0" xfId="2" applyFill="1" applyBorder="1" applyProtection="1">
      <protection hidden="1"/>
    </xf>
    <xf numFmtId="0" fontId="0" fillId="24" borderId="0" xfId="0" applyFill="1" applyProtection="1">
      <protection hidden="1"/>
    </xf>
    <xf numFmtId="0" fontId="13" fillId="17" borderId="32" xfId="4" applyFont="1" applyFill="1" applyBorder="1" applyAlignment="1" applyProtection="1">
      <alignment horizontal="center" vertical="distributed" wrapText="1"/>
      <protection hidden="1"/>
    </xf>
    <xf numFmtId="0" fontId="13" fillId="17" borderId="3" xfId="4" applyFont="1" applyFill="1" applyBorder="1" applyAlignment="1" applyProtection="1">
      <alignment horizontal="center" vertical="distributed" wrapText="1"/>
      <protection hidden="1"/>
    </xf>
    <xf numFmtId="0" fontId="13" fillId="17" borderId="7" xfId="4" applyFont="1" applyFill="1" applyBorder="1" applyAlignment="1" applyProtection="1">
      <alignment horizontal="center" vertical="center" wrapText="1"/>
      <protection hidden="1"/>
    </xf>
    <xf numFmtId="0" fontId="13" fillId="17" borderId="8" xfId="4" applyNumberFormat="1" applyFont="1" applyFill="1" applyBorder="1" applyAlignment="1" applyProtection="1">
      <alignment horizontal="center" vertical="center" wrapText="1"/>
      <protection hidden="1"/>
    </xf>
    <xf numFmtId="0" fontId="21" fillId="24" borderId="0" xfId="2" applyFont="1" applyFill="1" applyAlignment="1" applyProtection="1">
      <alignment horizontal="left" indent="5"/>
      <protection hidden="1"/>
    </xf>
    <xf numFmtId="0" fontId="74" fillId="2" borderId="0" xfId="0" applyFont="1" applyFill="1" applyAlignment="1" applyProtection="1">
      <alignment horizontal="left" indent="1"/>
      <protection hidden="1"/>
    </xf>
    <xf numFmtId="0" fontId="2" fillId="22" borderId="3" xfId="2" applyFill="1" applyBorder="1" applyProtection="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9" fillId="6" borderId="89" xfId="2" applyFont="1" applyFill="1" applyBorder="1" applyAlignment="1" applyProtection="1">
      <alignment horizontal="center" vertical="center" wrapText="1"/>
      <protection hidden="1"/>
    </xf>
    <xf numFmtId="0" fontId="21" fillId="11" borderId="5" xfId="2" applyFont="1" applyFill="1" applyBorder="1" applyAlignment="1" applyProtection="1">
      <alignment horizontal="center" vertical="center"/>
      <protection hidden="1"/>
    </xf>
    <xf numFmtId="0" fontId="2" fillId="2" borderId="0" xfId="2" applyFill="1" applyBorder="1" applyAlignment="1" applyProtection="1">
      <alignment horizontal="left" wrapText="1"/>
      <protection hidden="1"/>
    </xf>
    <xf numFmtId="0" fontId="11" fillId="3" borderId="3" xfId="2"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wrapText="1"/>
      <protection hidden="1"/>
    </xf>
    <xf numFmtId="0" fontId="21" fillId="2" borderId="0" xfId="2" applyFont="1" applyFill="1" applyBorder="1" applyAlignment="1" applyProtection="1">
      <alignment horizontal="left" indent="5"/>
      <protection hidden="1"/>
    </xf>
    <xf numFmtId="0" fontId="21" fillId="2" borderId="0" xfId="0" applyFont="1" applyFill="1" applyBorder="1" applyAlignment="1" applyProtection="1">
      <alignment horizontal="left" vertical="center" indent="5"/>
      <protection hidden="1"/>
    </xf>
    <xf numFmtId="0" fontId="56" fillId="32" borderId="0" xfId="2" applyFont="1" applyFill="1"/>
    <xf numFmtId="0" fontId="0" fillId="11" borderId="3" xfId="0" applyFont="1" applyFill="1" applyBorder="1"/>
    <xf numFmtId="0" fontId="171" fillId="11" borderId="0" xfId="0" applyFont="1" applyFill="1"/>
    <xf numFmtId="0" fontId="14" fillId="20" borderId="4" xfId="0" applyFont="1" applyFill="1" applyBorder="1" applyAlignment="1" applyProtection="1">
      <alignment horizontal="center" vertical="center" wrapText="1"/>
      <protection locked="0"/>
    </xf>
    <xf numFmtId="0" fontId="13" fillId="29" borderId="7" xfId="0" applyFont="1" applyFill="1" applyBorder="1" applyAlignment="1" applyProtection="1">
      <alignment horizontal="center" vertical="center"/>
      <protection hidden="1"/>
    </xf>
    <xf numFmtId="0" fontId="38" fillId="6" borderId="0" xfId="0" applyFont="1" applyFill="1" applyBorder="1" applyAlignment="1" applyProtection="1">
      <alignment horizontal="left" vertical="center" indent="1"/>
      <protection hidden="1"/>
    </xf>
    <xf numFmtId="0" fontId="14" fillId="20" borderId="10" xfId="0" applyFont="1" applyFill="1" applyBorder="1" applyAlignment="1" applyProtection="1">
      <alignment horizontal="left" vertical="center" wrapText="1"/>
      <protection locked="0"/>
    </xf>
    <xf numFmtId="0" fontId="14" fillId="4" borderId="28" xfId="1" applyNumberFormat="1" applyFont="1" applyFill="1" applyBorder="1" applyAlignment="1" applyProtection="1">
      <alignment horizontal="center" vertical="center" wrapText="1"/>
      <protection hidden="1"/>
    </xf>
    <xf numFmtId="0" fontId="13" fillId="6" borderId="7" xfId="0" applyFont="1" applyFill="1" applyBorder="1" applyAlignment="1" applyProtection="1">
      <alignment horizontal="center" vertical="center"/>
      <protection hidden="1"/>
    </xf>
    <xf numFmtId="0" fontId="14" fillId="20" borderId="29"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1" fillId="16" borderId="7" xfId="2" applyFont="1" applyFill="1" applyBorder="1" applyAlignment="1" applyProtection="1">
      <alignment horizontal="center" vertical="center" wrapText="1"/>
      <protection hidden="1"/>
    </xf>
    <xf numFmtId="0" fontId="13" fillId="16" borderId="7" xfId="0" applyFont="1" applyFill="1" applyBorder="1" applyAlignment="1" applyProtection="1">
      <alignment horizontal="center" vertical="center"/>
      <protection hidden="1"/>
    </xf>
    <xf numFmtId="0" fontId="11" fillId="2" borderId="0" xfId="2" applyFont="1" applyFill="1" applyBorder="1" applyProtection="1">
      <protection hidden="1"/>
    </xf>
    <xf numFmtId="0" fontId="2" fillId="2" borderId="20" xfId="2" applyFill="1" applyBorder="1" applyAlignment="1" applyProtection="1">
      <alignment horizontal="left" indent="1"/>
      <protection hidden="1"/>
    </xf>
    <xf numFmtId="0" fontId="2" fillId="22" borderId="0" xfId="2" applyFill="1" applyAlignment="1" applyProtection="1">
      <alignment horizontal="left" indent="1"/>
      <protection hidden="1"/>
    </xf>
    <xf numFmtId="0" fontId="2" fillId="27" borderId="0" xfId="2" applyFill="1" applyBorder="1" applyAlignment="1" applyProtection="1">
      <alignment horizontal="left" wrapText="1"/>
      <protection hidden="1"/>
    </xf>
    <xf numFmtId="0" fontId="2" fillId="27" borderId="0" xfId="2" applyFill="1" applyBorder="1" applyAlignment="1" applyProtection="1">
      <alignment wrapText="1"/>
      <protection hidden="1"/>
    </xf>
    <xf numFmtId="0" fontId="21" fillId="27" borderId="0" xfId="2" applyFont="1" applyFill="1" applyBorder="1" applyAlignment="1" applyProtection="1">
      <alignment horizontal="left" indent="5"/>
      <protection hidden="1"/>
    </xf>
    <xf numFmtId="0" fontId="2" fillId="27" borderId="0" xfId="2" applyFill="1" applyBorder="1" applyAlignment="1" applyProtection="1">
      <alignment horizontal="left" indent="5"/>
      <protection hidden="1"/>
    </xf>
    <xf numFmtId="0" fontId="20" fillId="27" borderId="0" xfId="2" applyFont="1" applyFill="1" applyBorder="1" applyAlignment="1" applyProtection="1">
      <alignment horizontal="left" indent="5"/>
      <protection hidden="1"/>
    </xf>
    <xf numFmtId="2" fontId="2" fillId="10" borderId="4" xfId="0" applyNumberFormat="1" applyFont="1" applyFill="1" applyBorder="1" applyAlignment="1" applyProtection="1">
      <alignment horizontal="center" vertical="center" wrapText="1"/>
      <protection hidden="1"/>
    </xf>
    <xf numFmtId="0" fontId="2" fillId="23" borderId="35" xfId="2" applyFill="1" applyBorder="1" applyProtection="1">
      <protection hidden="1"/>
    </xf>
    <xf numFmtId="0" fontId="2" fillId="23" borderId="30" xfId="2" applyFill="1" applyBorder="1" applyProtection="1">
      <protection hidden="1"/>
    </xf>
    <xf numFmtId="0" fontId="11" fillId="3" borderId="7" xfId="2" applyFont="1" applyFill="1" applyBorder="1" applyAlignment="1" applyProtection="1">
      <alignment horizontal="center"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indent="5"/>
      <protection hidden="1"/>
    </xf>
    <xf numFmtId="0" fontId="13" fillId="6" borderId="7" xfId="0" applyFont="1" applyFill="1" applyBorder="1" applyAlignment="1" applyProtection="1">
      <alignment horizontal="center" vertical="center"/>
      <protection hidden="1"/>
    </xf>
    <xf numFmtId="0" fontId="14" fillId="20" borderId="29"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2" fillId="2" borderId="0" xfId="2" applyFill="1" applyBorder="1" applyAlignment="1" applyProtection="1">
      <alignment horizontal="left" wrapText="1"/>
      <protection hidden="1"/>
    </xf>
    <xf numFmtId="0" fontId="0" fillId="0" borderId="39" xfId="0" applyBorder="1" applyProtection="1">
      <protection hidden="1"/>
    </xf>
    <xf numFmtId="0" fontId="0" fillId="0" borderId="0" xfId="0" applyBorder="1" applyProtection="1">
      <protection hidden="1"/>
    </xf>
    <xf numFmtId="0" fontId="56" fillId="32" borderId="0" xfId="2" applyFont="1" applyFill="1" applyProtection="1">
      <protection hidden="1"/>
    </xf>
    <xf numFmtId="0" fontId="0" fillId="0" borderId="0" xfId="0" applyFont="1" applyProtection="1">
      <protection hidden="1"/>
    </xf>
    <xf numFmtId="0" fontId="84" fillId="25" borderId="14" xfId="0" applyFont="1" applyFill="1" applyBorder="1" applyAlignment="1" applyProtection="1">
      <alignment vertical="center"/>
      <protection hidden="1"/>
    </xf>
    <xf numFmtId="0" fontId="83" fillId="25" borderId="0" xfId="0" applyFont="1" applyFill="1" applyBorder="1" applyAlignment="1" applyProtection="1">
      <alignment horizontal="center" vertical="center" wrapText="1"/>
      <protection hidden="1"/>
    </xf>
    <xf numFmtId="0" fontId="83" fillId="8" borderId="61" xfId="0" applyFont="1" applyFill="1" applyBorder="1" applyAlignment="1" applyProtection="1">
      <alignment vertical="center" wrapText="1"/>
      <protection hidden="1"/>
    </xf>
    <xf numFmtId="0" fontId="83" fillId="8" borderId="104" xfId="0" applyFont="1" applyFill="1" applyBorder="1" applyAlignment="1" applyProtection="1">
      <alignment vertical="center" wrapText="1"/>
      <protection hidden="1"/>
    </xf>
    <xf numFmtId="0" fontId="83" fillId="16" borderId="104" xfId="0" applyFont="1" applyFill="1" applyBorder="1" applyAlignment="1" applyProtection="1">
      <alignment vertical="center" wrapText="1"/>
      <protection hidden="1"/>
    </xf>
    <xf numFmtId="0" fontId="83" fillId="16" borderId="61" xfId="0" applyFont="1" applyFill="1" applyBorder="1" applyAlignment="1" applyProtection="1">
      <alignment vertical="center" wrapText="1"/>
      <protection hidden="1"/>
    </xf>
    <xf numFmtId="0" fontId="83" fillId="26" borderId="104" xfId="0" applyFont="1" applyFill="1" applyBorder="1" applyAlignment="1" applyProtection="1">
      <alignment vertical="center" wrapText="1"/>
      <protection hidden="1"/>
    </xf>
    <xf numFmtId="0" fontId="83" fillId="26" borderId="61" xfId="0" applyFont="1" applyFill="1" applyBorder="1" applyAlignment="1" applyProtection="1">
      <alignment vertical="center" wrapText="1"/>
      <protection hidden="1"/>
    </xf>
    <xf numFmtId="0" fontId="83" fillId="6" borderId="61" xfId="0" applyFont="1" applyFill="1" applyBorder="1" applyAlignment="1" applyProtection="1">
      <alignment vertical="center" wrapText="1"/>
      <protection hidden="1"/>
    </xf>
    <xf numFmtId="0" fontId="83" fillId="6" borderId="63" xfId="0" applyFont="1" applyFill="1" applyBorder="1" applyAlignment="1" applyProtection="1">
      <alignment vertical="center" wrapText="1"/>
      <protection hidden="1"/>
    </xf>
    <xf numFmtId="0" fontId="83" fillId="6" borderId="13" xfId="0" applyFont="1" applyFill="1" applyBorder="1" applyAlignment="1" applyProtection="1">
      <alignment vertical="center" wrapText="1"/>
      <protection hidden="1"/>
    </xf>
    <xf numFmtId="0" fontId="83" fillId="5" borderId="105" xfId="0" applyFont="1" applyFill="1" applyBorder="1" applyAlignment="1" applyProtection="1">
      <alignment vertical="center" wrapText="1"/>
      <protection hidden="1"/>
    </xf>
    <xf numFmtId="0" fontId="0" fillId="11" borderId="63" xfId="0" applyFont="1" applyFill="1" applyBorder="1" applyProtection="1">
      <protection hidden="1"/>
    </xf>
    <xf numFmtId="0" fontId="83" fillId="7" borderId="64" xfId="0" applyFont="1" applyFill="1" applyBorder="1" applyAlignment="1" applyProtection="1">
      <alignment vertical="center" wrapText="1"/>
      <protection hidden="1"/>
    </xf>
    <xf numFmtId="0" fontId="83" fillId="7" borderId="61" xfId="0" applyFont="1" applyFill="1" applyBorder="1" applyAlignment="1" applyProtection="1">
      <alignment vertical="center" wrapText="1"/>
      <protection hidden="1"/>
    </xf>
    <xf numFmtId="0" fontId="52" fillId="11" borderId="0" xfId="0" applyFont="1" applyFill="1" applyProtection="1">
      <protection hidden="1"/>
    </xf>
    <xf numFmtId="0" fontId="82" fillId="27" borderId="61" xfId="0" applyFont="1" applyFill="1" applyBorder="1" applyAlignment="1" applyProtection="1">
      <alignment horizontal="left" vertical="center"/>
      <protection locked="0"/>
    </xf>
    <xf numFmtId="0" fontId="82" fillId="27" borderId="13" xfId="0" applyFont="1" applyFill="1" applyBorder="1" applyAlignment="1" applyProtection="1">
      <alignment horizontal="left" vertical="center"/>
      <protection locked="0"/>
    </xf>
    <xf numFmtId="0" fontId="82" fillId="27" borderId="12" xfId="0" applyFont="1" applyFill="1" applyBorder="1" applyAlignment="1" applyProtection="1">
      <alignment horizontal="left" vertical="center"/>
      <protection locked="0"/>
    </xf>
    <xf numFmtId="0" fontId="82" fillId="27" borderId="0" xfId="0" applyFont="1" applyFill="1" applyBorder="1" applyAlignment="1" applyProtection="1">
      <alignment horizontal="left" vertical="center"/>
      <protection locked="0"/>
    </xf>
    <xf numFmtId="0" fontId="82" fillId="27" borderId="14" xfId="0" applyFont="1" applyFill="1" applyBorder="1" applyAlignment="1" applyProtection="1">
      <alignment horizontal="left" vertical="center"/>
      <protection locked="0"/>
    </xf>
    <xf numFmtId="0" fontId="26" fillId="27" borderId="12" xfId="3" applyFill="1" applyBorder="1" applyAlignment="1" applyProtection="1">
      <alignment horizontal="left" vertical="center"/>
      <protection locked="0"/>
    </xf>
    <xf numFmtId="0" fontId="26" fillId="27" borderId="0" xfId="3" applyFill="1" applyBorder="1" applyAlignment="1" applyProtection="1">
      <alignment horizontal="left" vertical="center"/>
      <protection locked="0"/>
    </xf>
    <xf numFmtId="0" fontId="178" fillId="4" borderId="61" xfId="3" applyFont="1" applyFill="1" applyBorder="1" applyAlignment="1" applyProtection="1">
      <alignment horizontal="center" vertical="center"/>
      <protection hidden="1"/>
    </xf>
    <xf numFmtId="0" fontId="20" fillId="2" borderId="0" xfId="2" applyFont="1" applyFill="1" applyBorder="1" applyAlignment="1" applyProtection="1">
      <alignment horizontal="left" vertical="center" indent="4"/>
      <protection hidden="1"/>
    </xf>
    <xf numFmtId="0" fontId="2" fillId="2" borderId="99" xfId="2" applyFill="1" applyBorder="1" applyProtection="1">
      <protection hidden="1"/>
    </xf>
    <xf numFmtId="0" fontId="14" fillId="20" borderId="4" xfId="0" applyFont="1" applyFill="1" applyBorder="1" applyAlignment="1" applyProtection="1">
      <alignment horizontal="center" vertical="center" wrapText="1"/>
      <protection locked="0"/>
    </xf>
    <xf numFmtId="0" fontId="13" fillId="17" borderId="8" xfId="4" applyFont="1" applyFill="1" applyBorder="1" applyAlignment="1" applyProtection="1">
      <alignment horizontal="center" vertical="center" wrapText="1"/>
      <protection hidden="1"/>
    </xf>
    <xf numFmtId="0" fontId="2" fillId="20" borderId="4" xfId="4" applyNumberFormat="1" applyFont="1" applyFill="1" applyBorder="1" applyAlignment="1" applyProtection="1">
      <alignment horizontal="center" vertical="center"/>
      <protection locked="0"/>
    </xf>
    <xf numFmtId="0" fontId="2" fillId="24" borderId="0" xfId="2" applyFill="1" applyAlignment="1" applyProtection="1">
      <alignment horizontal="left" wrapText="1"/>
      <protection hidden="1"/>
    </xf>
    <xf numFmtId="0" fontId="13" fillId="17" borderId="7" xfId="4" applyFont="1" applyFill="1" applyBorder="1" applyAlignment="1" applyProtection="1">
      <alignment horizontal="center" vertical="center" wrapText="1"/>
      <protection hidden="1"/>
    </xf>
    <xf numFmtId="0" fontId="21" fillId="23" borderId="0" xfId="2" applyFont="1" applyFill="1" applyBorder="1" applyAlignment="1" applyProtection="1">
      <alignment horizontal="left" vertical="center" indent="5"/>
      <protection hidden="1"/>
    </xf>
    <xf numFmtId="0" fontId="180" fillId="23" borderId="0" xfId="2" applyFont="1" applyFill="1" applyProtection="1">
      <protection hidden="1"/>
    </xf>
    <xf numFmtId="0" fontId="20" fillId="2" borderId="0" xfId="2" applyFont="1" applyFill="1" applyBorder="1" applyAlignment="1" applyProtection="1">
      <alignment horizontal="left" indent="5"/>
      <protection hidden="1"/>
    </xf>
    <xf numFmtId="0" fontId="112" fillId="6" borderId="8" xfId="0" applyFont="1" applyFill="1" applyBorder="1" applyAlignment="1" applyProtection="1">
      <alignment horizontal="center" vertical="center" wrapText="1"/>
      <protection hidden="1"/>
    </xf>
    <xf numFmtId="2" fontId="68" fillId="15" borderId="4" xfId="0" applyNumberFormat="1" applyFont="1" applyFill="1" applyBorder="1" applyAlignment="1">
      <alignment horizontal="center" vertical="center" wrapText="1"/>
    </xf>
    <xf numFmtId="2" fontId="6" fillId="4" borderId="4" xfId="2" applyNumberFormat="1" applyFont="1" applyFill="1" applyBorder="1" applyAlignment="1" applyProtection="1">
      <alignment horizontal="center" vertical="center" wrapText="1"/>
      <protection hidden="1"/>
    </xf>
    <xf numFmtId="2" fontId="0" fillId="0" borderId="0" xfId="0" applyNumberFormat="1" applyProtection="1">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wrapText="1"/>
      <protection hidden="1"/>
    </xf>
    <xf numFmtId="167" fontId="14" fillId="20" borderId="10" xfId="0" applyNumberFormat="1" applyFont="1" applyFill="1" applyBorder="1" applyAlignment="1" applyProtection="1">
      <alignment horizontal="center" vertical="center" wrapText="1"/>
      <protection locked="0"/>
    </xf>
    <xf numFmtId="0" fontId="2" fillId="2" borderId="0" xfId="2" applyFill="1" applyAlignment="1" applyProtection="1">
      <alignment horizontal="left"/>
      <protection hidden="1"/>
    </xf>
    <xf numFmtId="0" fontId="14" fillId="20" borderId="4"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6"/>
      <protection hidden="1"/>
    </xf>
    <xf numFmtId="167" fontId="14" fillId="20" borderId="4" xfId="0" applyNumberFormat="1" applyFont="1" applyFill="1" applyBorder="1" applyAlignment="1" applyProtection="1">
      <alignment horizontal="center" vertical="center" wrapText="1"/>
      <protection locked="0"/>
    </xf>
    <xf numFmtId="0" fontId="18" fillId="33" borderId="0" xfId="0" applyFont="1" applyFill="1"/>
    <xf numFmtId="0" fontId="183" fillId="11" borderId="0" xfId="0" applyFont="1" applyFill="1" applyAlignment="1" applyProtection="1">
      <protection hidden="1"/>
    </xf>
    <xf numFmtId="0" fontId="0" fillId="11" borderId="0" xfId="0" applyFill="1" applyAlignment="1" applyProtection="1">
      <alignment horizontal="left" indent="1"/>
      <protection hidden="1"/>
    </xf>
    <xf numFmtId="0" fontId="18" fillId="20" borderId="4" xfId="0" applyFont="1" applyFill="1" applyBorder="1" applyAlignment="1" applyProtection="1">
      <alignment horizontal="center" vertical="center" wrapText="1"/>
      <protection locked="0" hidden="1"/>
    </xf>
    <xf numFmtId="0" fontId="0" fillId="11" borderId="119" xfId="0" applyFill="1" applyBorder="1" applyProtection="1">
      <protection hidden="1"/>
    </xf>
    <xf numFmtId="0" fontId="2" fillId="24" borderId="0" xfId="2" applyFill="1" applyAlignment="1" applyProtection="1">
      <alignment horizontal="left" indent="5"/>
      <protection hidden="1"/>
    </xf>
    <xf numFmtId="0" fontId="47" fillId="16" borderId="0" xfId="0" applyFont="1" applyFill="1" applyAlignment="1">
      <alignment horizontal="center" vertical="center" wrapText="1"/>
    </xf>
    <xf numFmtId="0" fontId="20" fillId="11" borderId="0" xfId="2" applyFont="1" applyFill="1" applyBorder="1" applyAlignment="1">
      <alignment vertical="center"/>
    </xf>
    <xf numFmtId="0" fontId="20" fillId="11" borderId="0" xfId="2" applyFont="1" applyFill="1" applyAlignment="1">
      <alignment vertical="center"/>
    </xf>
    <xf numFmtId="0" fontId="11" fillId="16" borderId="4" xfId="0" applyFont="1" applyFill="1" applyBorder="1" applyAlignment="1" applyProtection="1">
      <alignment horizontal="center" vertical="center"/>
      <protection hidden="1"/>
    </xf>
    <xf numFmtId="0" fontId="11" fillId="16" borderId="4"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2" fillId="2" borderId="0" xfId="2" applyFill="1" applyAlignment="1" applyProtection="1">
      <alignment horizontal="left"/>
      <protection hidden="1"/>
    </xf>
    <xf numFmtId="167" fontId="14" fillId="20" borderId="10" xfId="0" applyNumberFormat="1" applyFont="1" applyFill="1" applyBorder="1" applyAlignment="1" applyProtection="1">
      <alignment horizontal="center" vertical="center" wrapText="1"/>
      <protection locked="0"/>
    </xf>
    <xf numFmtId="0" fontId="2" fillId="10" borderId="39" xfId="2" applyFill="1" applyBorder="1" applyAlignment="1" applyProtection="1">
      <alignment horizontal="left" vertical="center" indent="8"/>
      <protection hidden="1"/>
    </xf>
    <xf numFmtId="0" fontId="13" fillId="29"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167" fontId="14" fillId="20" borderId="4" xfId="0" applyNumberFormat="1"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wrapText="1"/>
      <protection hidden="1"/>
    </xf>
    <xf numFmtId="0" fontId="21" fillId="2" borderId="0" xfId="2" applyFont="1" applyFill="1" applyAlignment="1" applyProtection="1">
      <alignment horizontal="left" vertical="center" indent="5"/>
      <protection hidden="1"/>
    </xf>
    <xf numFmtId="0" fontId="13" fillId="6" borderId="3" xfId="0" applyFont="1" applyFill="1" applyBorder="1" applyAlignment="1" applyProtection="1">
      <alignment horizontal="center" vertical="center" wrapText="1"/>
      <protection hidden="1"/>
    </xf>
    <xf numFmtId="0" fontId="2" fillId="2" borderId="0" xfId="2" applyFill="1" applyBorder="1" applyAlignment="1" applyProtection="1">
      <alignment horizontal="left" wrapText="1"/>
      <protection hidden="1"/>
    </xf>
    <xf numFmtId="0" fontId="20" fillId="24" borderId="0" xfId="2" applyFont="1" applyFill="1" applyBorder="1" applyAlignment="1" applyProtection="1">
      <alignment horizontal="left" vertical="center" indent="5"/>
      <protection hidden="1"/>
    </xf>
    <xf numFmtId="166" fontId="21" fillId="20" borderId="4" xfId="4" applyNumberFormat="1" applyFont="1" applyFill="1" applyBorder="1" applyAlignment="1" applyProtection="1">
      <alignment horizontal="center" vertical="center"/>
      <protection locked="0"/>
    </xf>
    <xf numFmtId="0" fontId="0" fillId="0" borderId="0" xfId="0" applyAlignment="1" applyProtection="1">
      <alignment wrapText="1"/>
      <protection hidden="1"/>
    </xf>
    <xf numFmtId="0" fontId="2" fillId="4" borderId="4" xfId="4" applyNumberFormat="1" applyFont="1" applyFill="1" applyBorder="1" applyAlignment="1" applyProtection="1">
      <alignment horizontal="center" vertical="center" wrapText="1"/>
      <protection hidden="1"/>
    </xf>
    <xf numFmtId="0" fontId="78" fillId="31" borderId="4" xfId="0" applyFont="1" applyFill="1" applyBorder="1" applyAlignment="1">
      <alignment vertical="center" wrapText="1"/>
    </xf>
    <xf numFmtId="0" fontId="7" fillId="2" borderId="0" xfId="2" applyFont="1" applyFill="1" applyProtection="1">
      <protection hidden="1"/>
    </xf>
    <xf numFmtId="0" fontId="14" fillId="20" borderId="4" xfId="0"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38" fillId="16" borderId="0" xfId="0" applyFont="1" applyFill="1" applyBorder="1" applyAlignment="1" applyProtection="1">
      <alignment horizontal="left" vertical="center" indent="1"/>
      <protection hidden="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78" fillId="15" borderId="4" xfId="0" applyFont="1" applyFill="1" applyBorder="1" applyAlignment="1">
      <alignment horizontal="center" vertical="center" wrapText="1"/>
    </xf>
    <xf numFmtId="0" fontId="13" fillId="16" borderId="7" xfId="0" applyFont="1" applyFill="1" applyBorder="1" applyAlignment="1" applyProtection="1">
      <alignment horizontal="center" vertical="center"/>
      <protection hidden="1"/>
    </xf>
    <xf numFmtId="0" fontId="2" fillId="22" borderId="0" xfId="2" applyFill="1" applyAlignment="1" applyProtection="1">
      <alignment horizontal="left" wrapText="1"/>
      <protection hidden="1"/>
    </xf>
    <xf numFmtId="0" fontId="13" fillId="17" borderId="7" xfId="4" applyFont="1" applyFill="1" applyBorder="1" applyAlignment="1" applyProtection="1">
      <alignment horizontal="center" vertical="center" wrapText="1"/>
      <protection hidden="1"/>
    </xf>
    <xf numFmtId="0" fontId="2" fillId="10" borderId="36" xfId="2" applyFill="1" applyBorder="1" applyAlignment="1" applyProtection="1">
      <alignment horizontal="left" indent="6"/>
      <protection hidden="1"/>
    </xf>
    <xf numFmtId="0" fontId="2" fillId="10" borderId="39" xfId="2" applyFill="1" applyBorder="1" applyAlignment="1" applyProtection="1">
      <alignment horizontal="left" indent="7"/>
      <protection hidden="1"/>
    </xf>
    <xf numFmtId="0" fontId="2" fillId="10" borderId="22" xfId="2" applyFill="1" applyBorder="1" applyAlignment="1" applyProtection="1">
      <alignment horizontal="left" indent="7"/>
      <protection hidden="1"/>
    </xf>
    <xf numFmtId="0" fontId="191" fillId="11" borderId="0" xfId="0" applyFont="1" applyFill="1" applyAlignment="1">
      <alignment vertical="center"/>
    </xf>
    <xf numFmtId="0" fontId="21" fillId="2" borderId="23" xfId="2" applyFont="1" applyFill="1" applyBorder="1" applyAlignment="1" applyProtection="1">
      <alignment vertical="center"/>
      <protection hidden="1"/>
    </xf>
    <xf numFmtId="0" fontId="2" fillId="10" borderId="36" xfId="2" applyFont="1" applyFill="1" applyBorder="1" applyAlignment="1" applyProtection="1">
      <alignment horizontal="left" vertical="center" indent="8"/>
      <protection hidden="1"/>
    </xf>
    <xf numFmtId="0" fontId="2" fillId="27" borderId="35" xfId="2" applyFill="1" applyBorder="1" applyProtection="1">
      <protection hidden="1"/>
    </xf>
    <xf numFmtId="0" fontId="21" fillId="10" borderId="36" xfId="2" applyFont="1" applyFill="1" applyBorder="1" applyAlignment="1" applyProtection="1">
      <alignment horizontal="left" indent="6"/>
      <protection hidden="1"/>
    </xf>
    <xf numFmtId="0" fontId="20" fillId="22"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indent="1"/>
      <protection hidden="1"/>
    </xf>
    <xf numFmtId="0" fontId="13" fillId="6" borderId="10" xfId="0" applyFont="1" applyFill="1" applyBorder="1" applyAlignment="1" applyProtection="1">
      <alignment horizontal="center" vertical="center" wrapText="1"/>
      <protection hidden="1"/>
    </xf>
    <xf numFmtId="0" fontId="13" fillId="5" borderId="7" xfId="0" applyFont="1" applyFill="1" applyBorder="1" applyAlignment="1" applyProtection="1">
      <alignment horizontal="center" vertical="center"/>
      <protection hidden="1"/>
    </xf>
    <xf numFmtId="166" fontId="2" fillId="20" borderId="4" xfId="4" applyNumberFormat="1" applyFont="1" applyFill="1" applyBorder="1" applyAlignment="1" applyProtection="1">
      <alignment horizontal="center" vertical="center"/>
      <protection locked="0"/>
    </xf>
    <xf numFmtId="0" fontId="47" fillId="16" borderId="10" xfId="0" applyFont="1" applyFill="1" applyBorder="1" applyAlignment="1">
      <alignment horizontal="center" vertical="center" wrapText="1"/>
    </xf>
    <xf numFmtId="0" fontId="6" fillId="9" borderId="34" xfId="2" applyFont="1" applyFill="1" applyBorder="1" applyAlignment="1" applyProtection="1">
      <alignment horizontal="center" vertical="center" wrapText="1"/>
      <protection hidden="1"/>
    </xf>
    <xf numFmtId="166" fontId="2" fillId="10" borderId="4" xfId="4" applyNumberFormat="1" applyFont="1" applyFill="1" applyBorder="1" applyAlignment="1" applyProtection="1">
      <alignment horizontal="center" vertical="center"/>
      <protection hidden="1"/>
    </xf>
    <xf numFmtId="0" fontId="2" fillId="22" borderId="0" xfId="2" applyFill="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2" fillId="24" borderId="0" xfId="2" applyFill="1" applyAlignment="1" applyProtection="1">
      <alignment horizontal="left" vertical="center" indent="5"/>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14" fillId="20" borderId="29"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13" fillId="6" borderId="10" xfId="0" applyFont="1" applyFill="1" applyBorder="1" applyAlignment="1" applyProtection="1">
      <alignment horizontal="center" vertical="center"/>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vertical="top" wrapText="1" indent="2"/>
      <protection hidden="1"/>
    </xf>
    <xf numFmtId="0" fontId="0" fillId="2" borderId="0" xfId="0" applyFill="1" applyAlignment="1" applyProtection="1">
      <alignment horizontal="left" vertical="top" indent="4"/>
      <protection hidden="1"/>
    </xf>
    <xf numFmtId="1" fontId="14" fillId="20" borderId="4" xfId="0" quotePrefix="1" applyNumberFormat="1" applyFont="1" applyFill="1" applyBorder="1" applyAlignment="1" applyProtection="1">
      <alignment horizontal="center" vertical="center" wrapText="1"/>
      <protection locked="0"/>
    </xf>
    <xf numFmtId="0" fontId="26" fillId="2" borderId="0" xfId="3" applyFill="1" applyBorder="1" applyProtection="1">
      <protection hidden="1"/>
    </xf>
    <xf numFmtId="0" fontId="2" fillId="2" borderId="0" xfId="0" applyFont="1" applyFill="1" applyAlignment="1">
      <alignment horizontal="left" vertical="center"/>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74" fillId="27" borderId="11" xfId="0" applyFont="1" applyFill="1" applyBorder="1" applyAlignment="1" applyProtection="1">
      <alignment horizontal="left" vertical="center"/>
      <protection locked="0"/>
    </xf>
    <xf numFmtId="0" fontId="74" fillId="27" borderId="12" xfId="0" applyFont="1" applyFill="1" applyBorder="1" applyAlignment="1" applyProtection="1">
      <alignment horizontal="left" vertical="center"/>
      <protection locked="0"/>
    </xf>
    <xf numFmtId="0" fontId="74" fillId="27" borderId="13" xfId="0" applyFont="1" applyFill="1" applyBorder="1" applyAlignment="1" applyProtection="1">
      <alignment horizontal="left" vertical="center"/>
      <protection locked="0"/>
    </xf>
    <xf numFmtId="0" fontId="74" fillId="27" borderId="65" xfId="0" applyFont="1" applyFill="1" applyBorder="1" applyAlignment="1" applyProtection="1">
      <alignment horizontal="left" vertical="center"/>
      <protection locked="0"/>
    </xf>
    <xf numFmtId="0" fontId="74" fillId="27" borderId="14" xfId="0" applyFont="1" applyFill="1" applyBorder="1" applyAlignment="1" applyProtection="1">
      <alignment horizontal="left" vertical="center"/>
      <protection locked="0"/>
    </xf>
    <xf numFmtId="0" fontId="74" fillId="27" borderId="64" xfId="0" applyFont="1" applyFill="1" applyBorder="1" applyAlignment="1" applyProtection="1">
      <alignment horizontal="left" vertical="center"/>
      <protection locked="0"/>
    </xf>
    <xf numFmtId="0" fontId="74" fillId="2" borderId="0" xfId="0" applyFont="1" applyFill="1" applyAlignment="1">
      <alignment horizontal="left" vertical="center" wrapText="1" indent="2"/>
    </xf>
    <xf numFmtId="0" fontId="74" fillId="10" borderId="36" xfId="0" applyFont="1" applyFill="1" applyBorder="1" applyProtection="1">
      <protection hidden="1"/>
    </xf>
    <xf numFmtId="0" fontId="129" fillId="10" borderId="37" xfId="0" applyFont="1" applyFill="1" applyBorder="1" applyAlignment="1" applyProtection="1">
      <alignment vertical="center"/>
      <protection hidden="1"/>
    </xf>
    <xf numFmtId="0" fontId="128" fillId="10" borderId="37" xfId="0" applyFont="1" applyFill="1" applyBorder="1" applyProtection="1">
      <protection hidden="1"/>
    </xf>
    <xf numFmtId="0" fontId="74" fillId="10" borderId="37" xfId="0" applyFont="1" applyFill="1" applyBorder="1" applyProtection="1">
      <protection hidden="1"/>
    </xf>
    <xf numFmtId="0" fontId="74" fillId="10" borderId="38" xfId="0" applyFont="1" applyFill="1" applyBorder="1" applyProtection="1">
      <protection hidden="1"/>
    </xf>
    <xf numFmtId="0" fontId="130" fillId="10" borderId="39" xfId="0" applyFont="1" applyFill="1" applyBorder="1" applyAlignment="1" applyProtection="1">
      <alignment vertical="center" wrapText="1"/>
      <protection hidden="1"/>
    </xf>
    <xf numFmtId="0" fontId="129" fillId="10" borderId="0" xfId="0" applyFont="1" applyFill="1" applyBorder="1" applyAlignment="1" applyProtection="1">
      <alignment vertical="center"/>
      <protection hidden="1"/>
    </xf>
    <xf numFmtId="0" fontId="130" fillId="10" borderId="0" xfId="0" applyFont="1" applyFill="1" applyBorder="1" applyAlignment="1" applyProtection="1">
      <alignment vertical="center" wrapText="1"/>
      <protection hidden="1"/>
    </xf>
    <xf numFmtId="0" fontId="74" fillId="10" borderId="0" xfId="0" applyFont="1" applyFill="1" applyBorder="1" applyAlignment="1" applyProtection="1">
      <alignment vertical="center" wrapText="1"/>
      <protection hidden="1"/>
    </xf>
    <xf numFmtId="0" fontId="74" fillId="10" borderId="0" xfId="0" applyFont="1" applyFill="1" applyBorder="1" applyProtection="1">
      <protection hidden="1"/>
    </xf>
    <xf numFmtId="0" fontId="74" fillId="10" borderId="40" xfId="0" applyFont="1" applyFill="1" applyBorder="1" applyAlignment="1" applyProtection="1">
      <alignment vertical="center" wrapText="1"/>
      <protection hidden="1"/>
    </xf>
    <xf numFmtId="0" fontId="74" fillId="10" borderId="22" xfId="0" applyFont="1" applyFill="1" applyBorder="1" applyProtection="1">
      <protection hidden="1"/>
    </xf>
    <xf numFmtId="0" fontId="129" fillId="10" borderId="23" xfId="0" applyFont="1" applyFill="1" applyBorder="1" applyAlignment="1" applyProtection="1">
      <alignment vertical="center"/>
      <protection hidden="1"/>
    </xf>
    <xf numFmtId="0" fontId="74" fillId="10" borderId="23" xfId="0" applyFont="1" applyFill="1" applyBorder="1" applyAlignment="1" applyProtection="1">
      <alignment vertical="center" wrapText="1"/>
      <protection hidden="1"/>
    </xf>
    <xf numFmtId="0" fontId="74" fillId="10" borderId="23" xfId="0" applyFont="1" applyFill="1" applyBorder="1" applyProtection="1">
      <protection hidden="1"/>
    </xf>
    <xf numFmtId="0" fontId="74" fillId="10" borderId="24" xfId="0" applyFont="1" applyFill="1" applyBorder="1" applyAlignment="1" applyProtection="1">
      <alignment vertical="center" wrapText="1"/>
      <protection hidden="1"/>
    </xf>
    <xf numFmtId="0" fontId="75" fillId="10" borderId="36" xfId="0" applyFont="1" applyFill="1" applyBorder="1" applyAlignment="1" applyProtection="1">
      <alignment vertical="center" wrapText="1"/>
      <protection hidden="1"/>
    </xf>
    <xf numFmtId="0" fontId="75" fillId="10" borderId="37" xfId="0" applyFont="1" applyFill="1" applyBorder="1" applyAlignment="1" applyProtection="1">
      <alignment vertical="center" wrapText="1"/>
      <protection hidden="1"/>
    </xf>
    <xf numFmtId="0" fontId="75" fillId="10" borderId="38" xfId="0" applyFont="1" applyFill="1" applyBorder="1" applyAlignment="1" applyProtection="1">
      <alignment vertical="center" wrapText="1"/>
      <protection hidden="1"/>
    </xf>
    <xf numFmtId="0" fontId="75" fillId="10" borderId="22" xfId="0" applyFont="1" applyFill="1" applyBorder="1" applyAlignment="1" applyProtection="1">
      <alignment vertical="center"/>
      <protection hidden="1"/>
    </xf>
    <xf numFmtId="0" fontId="75" fillId="10" borderId="23" xfId="0" applyFont="1" applyFill="1" applyBorder="1" applyAlignment="1" applyProtection="1">
      <alignment vertical="center" wrapText="1"/>
      <protection hidden="1"/>
    </xf>
    <xf numFmtId="0" fontId="75" fillId="10" borderId="24" xfId="0" applyFont="1" applyFill="1" applyBorder="1" applyAlignment="1" applyProtection="1">
      <alignment vertical="center" wrapText="1"/>
      <protection hidden="1"/>
    </xf>
    <xf numFmtId="0" fontId="157" fillId="2" borderId="0" xfId="0" applyFont="1" applyFill="1" applyProtection="1">
      <protection hidden="1"/>
    </xf>
    <xf numFmtId="0" fontId="124" fillId="2" borderId="0" xfId="0" applyFont="1" applyFill="1" applyProtection="1">
      <protection hidden="1"/>
    </xf>
    <xf numFmtId="0" fontId="74" fillId="2" borderId="0" xfId="0" applyFont="1" applyFill="1" applyAlignment="1" applyProtection="1">
      <alignment vertical="center"/>
      <protection hidden="1"/>
    </xf>
    <xf numFmtId="0" fontId="125" fillId="2" borderId="0" xfId="0" applyFont="1" applyFill="1" applyProtection="1">
      <protection hidden="1"/>
    </xf>
    <xf numFmtId="0" fontId="26" fillId="27" borderId="14" xfId="3" applyFill="1" applyBorder="1" applyAlignment="1" applyProtection="1">
      <alignment horizontal="left" vertical="center"/>
      <protection locked="0"/>
    </xf>
    <xf numFmtId="9" fontId="14" fillId="20" borderId="28" xfId="1" applyFont="1" applyFill="1" applyBorder="1" applyAlignment="1" applyProtection="1">
      <alignment horizontal="center" vertical="center" wrapText="1"/>
      <protection locked="0"/>
    </xf>
    <xf numFmtId="0" fontId="5" fillId="6" borderId="0" xfId="2" applyFont="1" applyFill="1" applyBorder="1" applyAlignment="1" applyProtection="1">
      <alignment vertical="center" wrapText="1"/>
      <protection hidden="1"/>
    </xf>
    <xf numFmtId="0" fontId="23" fillId="14" borderId="38" xfId="2" applyFont="1" applyFill="1" applyBorder="1" applyAlignment="1" applyProtection="1">
      <alignment horizontal="center" vertical="center" wrapText="1"/>
      <protection hidden="1"/>
    </xf>
    <xf numFmtId="0" fontId="23"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7" fontId="14" fillId="20" borderId="10" xfId="0" applyNumberFormat="1"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78" fillId="15" borderId="4"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wrapText="1"/>
      <protection hidden="1"/>
    </xf>
    <xf numFmtId="0" fontId="13" fillId="6" borderId="0" xfId="0" applyFont="1" applyFill="1" applyBorder="1" applyAlignment="1" applyProtection="1">
      <alignment horizontal="center" vertical="center" wrapText="1"/>
      <protection hidden="1"/>
    </xf>
    <xf numFmtId="0" fontId="21" fillId="2" borderId="0" xfId="2" applyFont="1" applyFill="1" applyAlignment="1" applyProtection="1">
      <alignment horizontal="left" vertical="center" indent="6"/>
      <protection hidden="1"/>
    </xf>
    <xf numFmtId="0" fontId="2" fillId="2" borderId="0" xfId="2" applyFill="1" applyBorder="1" applyAlignment="1" applyProtection="1">
      <alignment horizontal="left" wrapText="1"/>
      <protection hidden="1"/>
    </xf>
    <xf numFmtId="0" fontId="13" fillId="6" borderId="10" xfId="0" applyFont="1" applyFill="1" applyBorder="1" applyAlignment="1" applyProtection="1">
      <alignment horizontal="center" vertical="center"/>
      <protection hidden="1"/>
    </xf>
    <xf numFmtId="0" fontId="2" fillId="10" borderId="22" xfId="2" applyFill="1" applyBorder="1" applyAlignment="1" applyProtection="1">
      <alignment horizontal="left" indent="6"/>
      <protection hidden="1"/>
    </xf>
    <xf numFmtId="167"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192" fillId="22" borderId="0" xfId="2" applyFont="1" applyFill="1" applyProtection="1">
      <protection hidden="1"/>
    </xf>
    <xf numFmtId="2" fontId="6" fillId="9" borderId="4" xfId="6" applyNumberFormat="1" applyFont="1" applyFill="1" applyBorder="1" applyAlignment="1" applyProtection="1">
      <protection hidden="1"/>
    </xf>
    <xf numFmtId="0" fontId="2" fillId="22" borderId="0" xfId="2" applyFill="1" applyBorder="1" applyAlignment="1" applyProtection="1">
      <alignment horizontal="left" indent="5"/>
      <protection hidden="1"/>
    </xf>
    <xf numFmtId="0" fontId="14" fillId="15" borderId="28" xfId="0" applyFont="1" applyFill="1" applyBorder="1" applyAlignment="1">
      <alignment horizontal="center" vertical="center" wrapText="1"/>
    </xf>
    <xf numFmtId="0" fontId="78" fillId="15" borderId="4" xfId="0" applyFont="1" applyFill="1" applyBorder="1" applyAlignment="1">
      <alignment vertical="center" wrapText="1"/>
    </xf>
    <xf numFmtId="0" fontId="2" fillId="10" borderId="4" xfId="0" applyNumberFormat="1" applyFont="1" applyFill="1" applyBorder="1" applyAlignment="1" applyProtection="1">
      <alignment horizontal="center" vertical="center" wrapText="1"/>
      <protection hidden="1"/>
    </xf>
    <xf numFmtId="0" fontId="83" fillId="6" borderId="105" xfId="0" applyFont="1" applyFill="1" applyBorder="1" applyAlignment="1" applyProtection="1">
      <alignment vertical="center" wrapText="1"/>
      <protection hidden="1"/>
    </xf>
    <xf numFmtId="0" fontId="83" fillId="5" borderId="63" xfId="0" applyFont="1" applyFill="1" applyBorder="1" applyAlignment="1" applyProtection="1">
      <alignment vertical="center" wrapText="1"/>
      <protection hidden="1"/>
    </xf>
    <xf numFmtId="0" fontId="83" fillId="6" borderId="2" xfId="0" applyFont="1" applyFill="1" applyBorder="1" applyAlignment="1" applyProtection="1">
      <alignment vertical="center" wrapText="1"/>
      <protection hidden="1"/>
    </xf>
    <xf numFmtId="0" fontId="83" fillId="3" borderId="2" xfId="0" applyFont="1" applyFill="1" applyBorder="1" applyAlignment="1" applyProtection="1">
      <alignment vertical="center" wrapText="1"/>
      <protection hidden="1"/>
    </xf>
    <xf numFmtId="0" fontId="83" fillId="5" borderId="2" xfId="0" applyFont="1" applyFill="1" applyBorder="1" applyAlignment="1" applyProtection="1">
      <alignment vertical="center" wrapText="1"/>
      <protection hidden="1"/>
    </xf>
    <xf numFmtId="0" fontId="149" fillId="11" borderId="0" xfId="0" applyFont="1" applyFill="1" applyBorder="1" applyAlignment="1" applyProtection="1">
      <alignment vertical="center"/>
      <protection hidden="1"/>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167" fontId="14" fillId="20" borderId="28" xfId="0" applyNumberFormat="1"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13" fillId="5" borderId="7" xfId="0" applyFont="1" applyFill="1" applyBorder="1" applyAlignment="1" applyProtection="1">
      <alignment horizontal="center" vertical="center"/>
      <protection hidden="1"/>
    </xf>
    <xf numFmtId="0" fontId="134" fillId="2" borderId="0" xfId="2" applyFont="1" applyFill="1" applyBorder="1" applyProtection="1">
      <protection hidden="1"/>
    </xf>
    <xf numFmtId="0" fontId="26" fillId="2" borderId="0" xfId="3" applyFill="1" applyAlignment="1">
      <alignment horizontal="left" vertical="center"/>
    </xf>
    <xf numFmtId="0" fontId="26" fillId="2" borderId="0" xfId="3" applyFill="1" applyAlignment="1">
      <alignment horizontal="right" vertical="center"/>
    </xf>
    <xf numFmtId="0" fontId="13" fillId="6" borderId="7" xfId="0" applyFont="1" applyFill="1" applyBorder="1" applyAlignment="1" applyProtection="1">
      <alignment horizontal="center" vertical="center"/>
      <protection hidden="1"/>
    </xf>
    <xf numFmtId="0" fontId="21" fillId="2" borderId="0" xfId="2" applyFont="1" applyFill="1" applyAlignment="1" applyProtection="1">
      <alignment horizontal="left" vertical="center" indent="6"/>
      <protection hidden="1"/>
    </xf>
    <xf numFmtId="0" fontId="21" fillId="2" borderId="0" xfId="2" applyFont="1" applyFill="1" applyAlignment="1" applyProtection="1">
      <alignment horizontal="left" vertical="center" wrapText="1" indent="6"/>
      <protection hidden="1"/>
    </xf>
    <xf numFmtId="0" fontId="2" fillId="2" borderId="31" xfId="2" applyFill="1" applyBorder="1" applyProtection="1">
      <protection hidden="1"/>
    </xf>
    <xf numFmtId="0" fontId="11" fillId="6" borderId="30" xfId="0" applyFont="1" applyFill="1" applyBorder="1" applyAlignment="1">
      <alignment vertical="center" wrapText="1"/>
    </xf>
    <xf numFmtId="9" fontId="14" fillId="20" borderId="4" xfId="1" applyFont="1" applyFill="1" applyBorder="1" applyAlignment="1" applyProtection="1">
      <alignment horizontal="center" vertical="center" wrapText="1"/>
      <protection locked="0"/>
    </xf>
    <xf numFmtId="0" fontId="14" fillId="2" borderId="0" xfId="0" applyFont="1" applyFill="1" applyAlignment="1">
      <alignment vertical="center"/>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4" fillId="20" borderId="29"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26" fillId="2" borderId="0" xfId="3" applyFill="1" applyBorder="1" applyAlignment="1" applyProtection="1">
      <alignment horizontal="left"/>
      <protection hidden="1"/>
    </xf>
    <xf numFmtId="0" fontId="14" fillId="20" borderId="4" xfId="0"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protection hidden="1"/>
    </xf>
    <xf numFmtId="0" fontId="2" fillId="12" borderId="0" xfId="2" applyFill="1" applyBorder="1" applyAlignment="1" applyProtection="1">
      <alignment wrapText="1"/>
      <protection hidden="1"/>
    </xf>
    <xf numFmtId="0" fontId="23" fillId="18" borderId="124" xfId="2" applyFont="1" applyFill="1" applyBorder="1" applyAlignment="1" applyProtection="1">
      <alignment horizontal="left" vertical="center" wrapText="1"/>
      <protection hidden="1"/>
    </xf>
    <xf numFmtId="0" fontId="23" fillId="18" borderId="127" xfId="2" applyFont="1" applyFill="1" applyBorder="1" applyAlignment="1" applyProtection="1">
      <alignment vertical="center" wrapText="1"/>
      <protection hidden="1"/>
    </xf>
    <xf numFmtId="0" fontId="23" fillId="18" borderId="129" xfId="2" applyFont="1" applyFill="1" applyBorder="1" applyAlignment="1" applyProtection="1">
      <alignment vertical="center" wrapText="1"/>
      <protection hidden="1"/>
    </xf>
    <xf numFmtId="0" fontId="21" fillId="4" borderId="67" xfId="2" applyFont="1" applyFill="1" applyBorder="1" applyAlignment="1" applyProtection="1">
      <alignment horizontal="center" wrapText="1"/>
      <protection hidden="1"/>
    </xf>
    <xf numFmtId="0" fontId="13" fillId="6" borderId="10" xfId="0" applyFont="1" applyFill="1" applyBorder="1" applyAlignment="1" applyProtection="1">
      <alignment horizontal="center" vertical="center" wrapText="1"/>
      <protection hidden="1"/>
    </xf>
    <xf numFmtId="0" fontId="26" fillId="2" borderId="0" xfId="3" applyFill="1" applyProtection="1">
      <protection hidden="1"/>
    </xf>
    <xf numFmtId="0" fontId="13" fillId="21" borderId="7" xfId="0" applyFont="1" applyFill="1" applyBorder="1" applyAlignment="1" applyProtection="1">
      <alignment horizontal="center" vertical="center"/>
      <protection hidden="1"/>
    </xf>
    <xf numFmtId="167" fontId="14" fillId="20" borderId="10" xfId="0" applyNumberFormat="1" applyFont="1" applyFill="1" applyBorder="1" applyAlignment="1" applyProtection="1">
      <alignment horizontal="center" vertical="center" wrapText="1"/>
      <protection locked="0"/>
    </xf>
    <xf numFmtId="167" fontId="14" fillId="4" borderId="4" xfId="0" applyNumberFormat="1"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2" fillId="10" borderId="40" xfId="2" applyFill="1" applyBorder="1" applyAlignment="1" applyProtection="1">
      <alignment horizontal="left" indent="8"/>
      <protection hidden="1"/>
    </xf>
    <xf numFmtId="0" fontId="2" fillId="10" borderId="24" xfId="2" applyFill="1" applyBorder="1" applyAlignment="1" applyProtection="1">
      <alignment horizontal="left" indent="8"/>
      <protection hidden="1"/>
    </xf>
    <xf numFmtId="0" fontId="21" fillId="2" borderId="0" xfId="2" applyFont="1" applyFill="1" applyBorder="1" applyAlignment="1" applyProtection="1">
      <alignment horizontal="left" indent="5"/>
      <protection hidden="1"/>
    </xf>
    <xf numFmtId="0" fontId="2" fillId="10" borderId="0" xfId="2" applyFill="1" applyBorder="1" applyAlignment="1" applyProtection="1">
      <alignment horizontal="left" indent="5"/>
      <protection hidden="1"/>
    </xf>
    <xf numFmtId="0" fontId="21" fillId="10" borderId="37" xfId="2" applyFont="1" applyFill="1" applyBorder="1" applyAlignment="1" applyProtection="1">
      <alignment horizontal="left" indent="5"/>
      <protection hidden="1"/>
    </xf>
    <xf numFmtId="0" fontId="21" fillId="10" borderId="38" xfId="2" applyFont="1" applyFill="1" applyBorder="1" applyAlignment="1" applyProtection="1">
      <alignment horizontal="left" indent="5"/>
      <protection hidden="1"/>
    </xf>
    <xf numFmtId="0" fontId="2" fillId="10" borderId="40" xfId="2" applyFill="1" applyBorder="1" applyAlignment="1" applyProtection="1">
      <alignment horizontal="left" indent="5"/>
      <protection hidden="1"/>
    </xf>
    <xf numFmtId="0" fontId="2" fillId="10" borderId="23" xfId="2" applyFill="1" applyBorder="1" applyAlignment="1" applyProtection="1">
      <alignment horizontal="left" indent="5"/>
      <protection hidden="1"/>
    </xf>
    <xf numFmtId="0" fontId="2" fillId="10" borderId="24" xfId="2" applyFill="1" applyBorder="1" applyAlignment="1" applyProtection="1">
      <alignment horizontal="left" indent="5"/>
      <protection hidden="1"/>
    </xf>
    <xf numFmtId="0" fontId="21" fillId="10" borderId="39" xfId="2" applyFont="1" applyFill="1" applyBorder="1" applyAlignment="1" applyProtection="1">
      <alignment horizontal="left" indent="6"/>
      <protection hidden="1"/>
    </xf>
    <xf numFmtId="167" fontId="14" fillId="20" borderId="10" xfId="0" applyNumberFormat="1" applyFont="1" applyFill="1" applyBorder="1" applyAlignment="1" applyProtection="1">
      <alignment horizontal="center" vertical="center" wrapText="1"/>
      <protection locked="0"/>
    </xf>
    <xf numFmtId="0" fontId="2" fillId="2" borderId="0" xfId="2" applyFont="1" applyFill="1" applyBorder="1" applyAlignment="1" applyProtection="1">
      <alignment horizontal="left" vertical="center" wrapText="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2" fillId="2" borderId="0" xfId="2" applyFill="1" applyAlignment="1" applyProtection="1">
      <alignment horizontal="left" vertical="center" indent="5"/>
      <protection hidden="1"/>
    </xf>
    <xf numFmtId="0" fontId="13" fillId="3"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2" borderId="0" xfId="2" applyFill="1" applyAlignment="1" applyProtection="1">
      <alignment horizontal="left" vertical="center" indent="5"/>
      <protection hidden="1"/>
    </xf>
    <xf numFmtId="2" fontId="14" fillId="20" borderId="4" xfId="0" applyNumberFormat="1" applyFont="1" applyFill="1" applyBorder="1" applyAlignment="1" applyProtection="1">
      <alignment horizontal="center" vertical="center" wrapText="1"/>
      <protection locked="0"/>
    </xf>
    <xf numFmtId="0" fontId="68" fillId="2" borderId="0" xfId="0" applyFont="1" applyFill="1" applyAlignment="1">
      <alignment vertical="center" wrapText="1"/>
    </xf>
    <xf numFmtId="0" fontId="14" fillId="20" borderId="10" xfId="0" applyFont="1" applyFill="1" applyBorder="1" applyAlignment="1" applyProtection="1">
      <alignment horizontal="center" vertical="center" wrapText="1"/>
      <protection locked="0"/>
    </xf>
    <xf numFmtId="0" fontId="14" fillId="20" borderId="7" xfId="0" applyFont="1" applyFill="1" applyBorder="1" applyAlignment="1" applyProtection="1">
      <alignment horizontal="center" vertical="center" wrapText="1"/>
      <protection locked="0"/>
    </xf>
    <xf numFmtId="0" fontId="177" fillId="10" borderId="0" xfId="0" applyFont="1" applyFill="1" applyAlignment="1" applyProtection="1">
      <alignment vertical="center" wrapText="1"/>
      <protection hidden="1"/>
    </xf>
    <xf numFmtId="0" fontId="14" fillId="20" borderId="4" xfId="0" applyFont="1" applyFill="1" applyBorder="1" applyAlignment="1" applyProtection="1">
      <alignment horizontal="center" vertical="center" wrapText="1"/>
      <protection locked="0"/>
    </xf>
    <xf numFmtId="167" fontId="14" fillId="4" borderId="4" xfId="0" applyNumberFormat="1"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167"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0" fillId="34" borderId="0" xfId="0" applyFill="1" applyProtection="1">
      <protection hidden="1"/>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7" xfId="0" applyFont="1" applyFill="1" applyBorder="1" applyAlignment="1" applyProtection="1">
      <alignment horizontal="center" vertical="center" wrapText="1"/>
      <protection hidden="1"/>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13" fillId="13"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indent="5"/>
      <protection hidden="1"/>
    </xf>
    <xf numFmtId="0" fontId="2" fillId="2" borderId="0" xfId="2" applyFill="1" applyAlignment="1" applyProtection="1">
      <alignment horizontal="left" vertical="center" indent="5"/>
      <protection hidden="1"/>
    </xf>
    <xf numFmtId="0" fontId="13" fillId="6" borderId="10" xfId="0" applyFont="1" applyFill="1" applyBorder="1" applyAlignment="1" applyProtection="1">
      <alignment horizontal="center" vertical="center"/>
      <protection hidden="1"/>
    </xf>
    <xf numFmtId="0" fontId="2" fillId="11" borderId="0" xfId="2" applyFont="1" applyFill="1" applyBorder="1" applyAlignment="1">
      <alignment horizontal="left" vertical="center" wrapText="1"/>
    </xf>
    <xf numFmtId="0" fontId="21" fillId="2" borderId="0" xfId="2" applyFont="1" applyFill="1" applyBorder="1" applyAlignment="1" applyProtection="1">
      <alignment horizontal="left" indent="5"/>
      <protection hidden="1"/>
    </xf>
    <xf numFmtId="0" fontId="2" fillId="2" borderId="0" xfId="2" applyFill="1" applyBorder="1" applyAlignment="1" applyProtection="1">
      <alignment horizontal="left" wrapText="1"/>
      <protection hidden="1"/>
    </xf>
    <xf numFmtId="0" fontId="143" fillId="10" borderId="0" xfId="2" applyFont="1" applyFill="1" applyBorder="1" applyAlignment="1">
      <alignment vertical="center"/>
    </xf>
    <xf numFmtId="0" fontId="199" fillId="11" borderId="0" xfId="2" applyFont="1" applyFill="1" applyBorder="1" applyAlignment="1">
      <alignment vertical="center"/>
    </xf>
    <xf numFmtId="0" fontId="2" fillId="11" borderId="0" xfId="2" quotePrefix="1" applyFont="1" applyFill="1" applyBorder="1" applyAlignment="1">
      <alignment horizontal="left" indent="1"/>
    </xf>
    <xf numFmtId="0" fontId="2" fillId="11" borderId="0" xfId="2" quotePrefix="1" applyFont="1" applyFill="1" applyBorder="1" applyAlignment="1">
      <alignment horizontal="left" vertical="center" indent="1"/>
    </xf>
    <xf numFmtId="0" fontId="14" fillId="11" borderId="0" xfId="2" applyFont="1" applyFill="1" applyBorder="1" applyAlignment="1">
      <alignment horizontal="left" vertical="center" indent="1"/>
    </xf>
    <xf numFmtId="0" fontId="2" fillId="11" borderId="0" xfId="2" applyFont="1" applyFill="1" applyBorder="1" applyAlignment="1">
      <alignment horizontal="left" indent="1"/>
    </xf>
    <xf numFmtId="0" fontId="111" fillId="0" borderId="0" xfId="0" applyFont="1" applyAlignment="1">
      <alignment vertical="center" wrapText="1"/>
    </xf>
    <xf numFmtId="0" fontId="21" fillId="2" borderId="0" xfId="2" applyFont="1" applyFill="1" applyBorder="1" applyAlignment="1">
      <alignment horizontal="left" vertical="center" indent="5"/>
    </xf>
    <xf numFmtId="0" fontId="2" fillId="2" borderId="49" xfId="2" applyFill="1" applyBorder="1"/>
    <xf numFmtId="0" fontId="2" fillId="2" borderId="0" xfId="2" applyFill="1" applyAlignment="1" applyProtection="1">
      <alignment horizontal="left" vertical="center" indent="6"/>
      <protection hidden="1"/>
    </xf>
    <xf numFmtId="0" fontId="0" fillId="0" borderId="0" xfId="0" applyAlignment="1" applyProtection="1">
      <alignment horizontal="left" vertical="center" indent="6"/>
      <protection hidden="1"/>
    </xf>
    <xf numFmtId="0" fontId="20" fillId="2" borderId="0" xfId="2" applyFont="1" applyFill="1" applyAlignment="1" applyProtection="1">
      <alignment vertical="center"/>
      <protection hidden="1"/>
    </xf>
    <xf numFmtId="0" fontId="11" fillId="6" borderId="7" xfId="2" applyFont="1" applyFill="1" applyBorder="1" applyAlignment="1" applyProtection="1">
      <alignment horizontal="center" wrapText="1"/>
      <protection hidden="1"/>
    </xf>
    <xf numFmtId="0" fontId="2" fillId="10" borderId="4" xfId="2" applyFill="1" applyBorder="1" applyAlignment="1" applyProtection="1">
      <alignment horizontal="center" vertical="center"/>
      <protection hidden="1"/>
    </xf>
    <xf numFmtId="0" fontId="2" fillId="10" borderId="4" xfId="2" applyFill="1" applyBorder="1" applyAlignment="1" applyProtection="1">
      <alignment vertical="center"/>
      <protection hidden="1"/>
    </xf>
    <xf numFmtId="0" fontId="2" fillId="10" borderId="47" xfId="2" applyFill="1" applyBorder="1" applyAlignment="1" applyProtection="1">
      <alignment horizontal="left" vertical="center" indent="5"/>
      <protection hidden="1"/>
    </xf>
    <xf numFmtId="0" fontId="2" fillId="10" borderId="46" xfId="2" applyFill="1" applyBorder="1" applyProtection="1">
      <protection hidden="1"/>
    </xf>
    <xf numFmtId="0" fontId="2" fillId="10" borderId="48" xfId="2" applyFill="1" applyBorder="1" applyProtection="1">
      <protection hidden="1"/>
    </xf>
    <xf numFmtId="0" fontId="2" fillId="10" borderId="6" xfId="2" applyFill="1" applyBorder="1" applyProtection="1">
      <protection hidden="1"/>
    </xf>
    <xf numFmtId="0" fontId="2" fillId="10" borderId="52" xfId="2" applyFill="1" applyBorder="1" applyProtection="1">
      <protection hidden="1"/>
    </xf>
    <xf numFmtId="0" fontId="2" fillId="10" borderId="49" xfId="2" applyFill="1" applyBorder="1" applyAlignment="1" applyProtection="1">
      <alignment horizontal="left" vertical="center" indent="5"/>
      <protection hidden="1"/>
    </xf>
    <xf numFmtId="0" fontId="2" fillId="10" borderId="50" xfId="2" applyFill="1" applyBorder="1" applyProtection="1">
      <protection hidden="1"/>
    </xf>
    <xf numFmtId="0" fontId="2" fillId="10" borderId="51" xfId="2" applyFill="1" applyBorder="1" applyAlignment="1" applyProtection="1">
      <alignment horizontal="left" vertical="center" indent="5"/>
      <protection hidden="1"/>
    </xf>
    <xf numFmtId="0" fontId="74" fillId="2" borderId="0" xfId="0" applyFont="1" applyFill="1" applyAlignment="1">
      <alignment horizontal="left" vertical="center" wrapText="1" indent="2"/>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11" borderId="0" xfId="2" applyFont="1" applyFill="1" applyBorder="1" applyAlignment="1">
      <alignment horizontal="left" vertical="center" wrapText="1"/>
    </xf>
    <xf numFmtId="0" fontId="2" fillId="10" borderId="47" xfId="2" applyFill="1" applyBorder="1" applyAlignment="1" applyProtection="1">
      <alignment horizontal="left" vertical="center" indent="7"/>
      <protection hidden="1"/>
    </xf>
    <xf numFmtId="0" fontId="14" fillId="2" borderId="0" xfId="0" applyFont="1" applyFill="1"/>
    <xf numFmtId="0" fontId="2" fillId="10" borderId="0" xfId="2" applyFont="1" applyFill="1" applyBorder="1"/>
    <xf numFmtId="0" fontId="2" fillId="10" borderId="0" xfId="2" applyFont="1" applyFill="1"/>
    <xf numFmtId="0" fontId="203" fillId="11" borderId="0" xfId="0" applyFont="1" applyFill="1" applyAlignment="1">
      <alignment vertical="center"/>
    </xf>
    <xf numFmtId="0" fontId="18" fillId="11" borderId="137" xfId="0" applyFont="1" applyFill="1" applyBorder="1"/>
    <xf numFmtId="0" fontId="0" fillId="11" borderId="138" xfId="0" applyFill="1" applyBorder="1"/>
    <xf numFmtId="0" fontId="0" fillId="11" borderId="139" xfId="0" applyFill="1" applyBorder="1"/>
    <xf numFmtId="0" fontId="18" fillId="11" borderId="140" xfId="0" applyFont="1" applyFill="1" applyBorder="1"/>
    <xf numFmtId="0" fontId="0" fillId="11" borderId="141" xfId="0" applyFill="1" applyBorder="1"/>
    <xf numFmtId="0" fontId="18" fillId="11" borderId="142" xfId="0" applyFont="1" applyFill="1" applyBorder="1"/>
    <xf numFmtId="0" fontId="0" fillId="11" borderId="143" xfId="0" applyFill="1" applyBorder="1"/>
    <xf numFmtId="0" fontId="0" fillId="11" borderId="144" xfId="0" applyFill="1" applyBorder="1"/>
    <xf numFmtId="0" fontId="0" fillId="11" borderId="0" xfId="0" applyFill="1" applyBorder="1"/>
    <xf numFmtId="0" fontId="204" fillId="11" borderId="0" xfId="0" applyFont="1" applyFill="1" applyAlignment="1">
      <alignment vertical="center"/>
    </xf>
    <xf numFmtId="0" fontId="18" fillId="11" borderId="145" xfId="0" applyFont="1" applyFill="1" applyBorder="1"/>
    <xf numFmtId="0" fontId="18" fillId="11" borderId="146" xfId="0" applyFont="1" applyFill="1" applyBorder="1"/>
    <xf numFmtId="0" fontId="18" fillId="11" borderId="147" xfId="0" applyFont="1" applyFill="1" applyBorder="1"/>
    <xf numFmtId="0" fontId="18" fillId="11" borderId="148" xfId="0" applyFont="1" applyFill="1" applyBorder="1"/>
    <xf numFmtId="0" fontId="18" fillId="11" borderId="149" xfId="0" applyFont="1" applyFill="1" applyBorder="1"/>
    <xf numFmtId="0" fontId="18" fillId="11" borderId="150" xfId="0" applyFont="1" applyFill="1" applyBorder="1"/>
    <xf numFmtId="0" fontId="18" fillId="11" borderId="151" xfId="0" applyFont="1" applyFill="1" applyBorder="1"/>
    <xf numFmtId="0" fontId="18" fillId="11" borderId="152" xfId="0" applyFont="1" applyFill="1" applyBorder="1"/>
    <xf numFmtId="0" fontId="205" fillId="11" borderId="0" xfId="0" applyFont="1" applyFill="1" applyAlignment="1">
      <alignment vertical="center"/>
    </xf>
    <xf numFmtId="0" fontId="18" fillId="11" borderId="50" xfId="0" applyFont="1" applyFill="1" applyBorder="1"/>
    <xf numFmtId="0" fontId="0" fillId="11" borderId="46" xfId="0" applyFill="1" applyBorder="1"/>
    <xf numFmtId="0" fontId="0" fillId="11" borderId="48" xfId="0" applyFill="1" applyBorder="1"/>
    <xf numFmtId="0" fontId="0" fillId="11" borderId="50" xfId="0" applyFill="1" applyBorder="1"/>
    <xf numFmtId="0" fontId="0" fillId="11" borderId="6" xfId="0" applyFill="1" applyBorder="1"/>
    <xf numFmtId="0" fontId="0" fillId="11" borderId="52" xfId="0" applyFill="1" applyBorder="1"/>
    <xf numFmtId="0" fontId="8" fillId="11" borderId="81" xfId="3" applyFont="1" applyFill="1" applyBorder="1" applyAlignment="1">
      <alignment vertical="center"/>
    </xf>
    <xf numFmtId="0" fontId="8" fillId="11" borderId="0" xfId="3" applyFont="1" applyFill="1" applyBorder="1" applyAlignment="1">
      <alignment vertical="center"/>
    </xf>
    <xf numFmtId="0" fontId="8" fillId="11" borderId="0" xfId="0" applyFont="1" applyFill="1"/>
    <xf numFmtId="0" fontId="2" fillId="22" borderId="37" xfId="2" applyFill="1" applyBorder="1" applyProtection="1">
      <protection hidden="1"/>
    </xf>
    <xf numFmtId="0" fontId="21" fillId="22" borderId="0" xfId="2" applyFont="1" applyFill="1" applyBorder="1" applyAlignment="1" applyProtection="1">
      <alignment horizontal="left" vertical="center" indent="5"/>
      <protection hidden="1"/>
    </xf>
    <xf numFmtId="0" fontId="20" fillId="22" borderId="0" xfId="2" applyFont="1" applyFill="1" applyBorder="1" applyAlignment="1" applyProtection="1">
      <alignment horizontal="left" vertical="center" indent="6"/>
      <protection hidden="1"/>
    </xf>
    <xf numFmtId="0" fontId="2" fillId="22" borderId="0" xfId="2" applyFont="1" applyFill="1" applyBorder="1" applyProtection="1">
      <protection hidden="1"/>
    </xf>
    <xf numFmtId="0" fontId="2" fillId="22" borderId="0" xfId="2" applyFill="1" applyBorder="1" applyAlignment="1" applyProtection="1">
      <alignment horizontal="right" vertical="center"/>
      <protection hidden="1"/>
    </xf>
    <xf numFmtId="0" fontId="2" fillId="23" borderId="0" xfId="2" applyFill="1" applyBorder="1" applyAlignment="1" applyProtection="1">
      <alignment horizontal="left" indent="5"/>
      <protection hidden="1"/>
    </xf>
    <xf numFmtId="0" fontId="20" fillId="23" borderId="0" xfId="0" applyFont="1" applyFill="1" applyBorder="1" applyAlignment="1" applyProtection="1">
      <alignment horizontal="left" vertical="center" wrapText="1"/>
      <protection hidden="1"/>
    </xf>
    <xf numFmtId="0" fontId="21" fillId="23" borderId="0" xfId="0" applyFont="1" applyFill="1" applyBorder="1" applyAlignment="1" applyProtection="1">
      <alignment horizontal="left" vertical="center" wrapText="1"/>
      <protection hidden="1"/>
    </xf>
    <xf numFmtId="0" fontId="8" fillId="20" borderId="5" xfId="2" applyFont="1" applyFill="1" applyBorder="1" applyAlignment="1" applyProtection="1">
      <alignment horizontal="center" vertical="center"/>
      <protection locked="0"/>
    </xf>
    <xf numFmtId="0" fontId="74" fillId="2" borderId="0" xfId="0" applyFont="1" applyFill="1" applyAlignment="1">
      <alignment horizontal="left" vertical="center" wrapText="1" indent="1"/>
    </xf>
    <xf numFmtId="0" fontId="74" fillId="2" borderId="0" xfId="0" applyFont="1" applyFill="1" applyAlignment="1">
      <alignment horizontal="left" vertical="center" wrapText="1" indent="3"/>
    </xf>
    <xf numFmtId="0" fontId="207" fillId="2" borderId="0" xfId="0" applyFont="1" applyFill="1" applyAlignment="1">
      <alignment horizontal="left" vertical="center" indent="1"/>
    </xf>
    <xf numFmtId="0" fontId="162" fillId="2" borderId="0" xfId="0" applyFont="1" applyFill="1" applyAlignment="1">
      <alignment horizontal="left" vertical="center" indent="2"/>
    </xf>
    <xf numFmtId="0" fontId="14" fillId="20" borderId="29"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13" fillId="7" borderId="7" xfId="0" applyFont="1" applyFill="1" applyBorder="1" applyAlignment="1" applyProtection="1">
      <alignment horizontal="center" vertical="center"/>
      <protection hidden="1"/>
    </xf>
    <xf numFmtId="0" fontId="206" fillId="11" borderId="0" xfId="0" applyFont="1" applyFill="1" applyBorder="1" applyAlignment="1">
      <alignment horizontal="justify" vertical="center" wrapText="1"/>
    </xf>
    <xf numFmtId="0" fontId="2" fillId="11" borderId="0" xfId="2" applyFont="1" applyFill="1" applyBorder="1" applyAlignment="1">
      <alignment horizontal="left" vertical="center"/>
    </xf>
    <xf numFmtId="0" fontId="11" fillId="5" borderId="99" xfId="2" applyFont="1" applyFill="1" applyBorder="1" applyAlignment="1" applyProtection="1">
      <alignment horizontal="center" vertical="center"/>
      <protection hidden="1"/>
    </xf>
    <xf numFmtId="0" fontId="13" fillId="17" borderId="8" xfId="4" applyFont="1" applyFill="1" applyBorder="1" applyAlignment="1" applyProtection="1">
      <alignment horizontal="center" vertical="center" wrapText="1"/>
      <protection hidden="1"/>
    </xf>
    <xf numFmtId="0" fontId="2" fillId="4" borderId="4" xfId="4" applyNumberFormat="1" applyFont="1" applyFill="1" applyBorder="1" applyAlignment="1" applyProtection="1">
      <alignment horizontal="center" vertical="center"/>
      <protection hidden="1"/>
    </xf>
    <xf numFmtId="0" fontId="2" fillId="20" borderId="4" xfId="4" applyNumberFormat="1" applyFont="1" applyFill="1" applyBorder="1" applyAlignment="1" applyProtection="1">
      <alignment horizontal="center" vertical="center" wrapText="1"/>
      <protection locked="0"/>
    </xf>
    <xf numFmtId="0" fontId="13" fillId="17" borderId="7" xfId="4" applyFont="1" applyFill="1" applyBorder="1" applyAlignment="1" applyProtection="1">
      <alignment horizontal="center" vertical="distributed" wrapText="1"/>
      <protection hidden="1"/>
    </xf>
    <xf numFmtId="0" fontId="20" fillId="11" borderId="0" xfId="2" applyFont="1" applyFill="1" applyBorder="1" applyAlignment="1">
      <alignment horizontal="center" vertical="center"/>
    </xf>
    <xf numFmtId="167" fontId="14" fillId="4" borderId="4" xfId="0" applyNumberFormat="1"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7" fontId="14" fillId="20" borderId="10" xfId="0" applyNumberFormat="1" applyFont="1" applyFill="1" applyBorder="1" applyAlignment="1" applyProtection="1">
      <alignment horizontal="center" vertical="center" wrapText="1"/>
      <protection locked="0"/>
    </xf>
    <xf numFmtId="167" fontId="14" fillId="20" borderId="8" xfId="0" applyNumberFormat="1"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4" fillId="20" borderId="30" xfId="0" applyFont="1" applyFill="1" applyBorder="1" applyAlignment="1" applyProtection="1">
      <alignment horizontal="center" vertical="center" wrapText="1"/>
      <protection locked="0"/>
    </xf>
    <xf numFmtId="0" fontId="14" fillId="20" borderId="4" xfId="0" applyNumberFormat="1"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9" fontId="14" fillId="20" borderId="155" xfId="1" applyFont="1" applyFill="1" applyBorder="1" applyAlignment="1" applyProtection="1">
      <alignment horizontal="center" vertical="center" wrapText="1"/>
      <protection locked="0"/>
    </xf>
    <xf numFmtId="0" fontId="2" fillId="2" borderId="35" xfId="2" applyFill="1" applyBorder="1"/>
    <xf numFmtId="0" fontId="2" fillId="35" borderId="4" xfId="0" applyFont="1" applyFill="1" applyBorder="1" applyAlignment="1" applyProtection="1">
      <alignment horizontal="left" vertical="center" wrapText="1"/>
      <protection hidden="1"/>
    </xf>
    <xf numFmtId="0" fontId="2" fillId="35" borderId="4" xfId="0" applyFont="1" applyFill="1" applyBorder="1" applyAlignment="1" applyProtection="1">
      <alignment horizontal="center" vertical="center" wrapText="1"/>
      <protection hidden="1"/>
    </xf>
    <xf numFmtId="0" fontId="136" fillId="6" borderId="36" xfId="3"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indent="5"/>
      <protection hidden="1"/>
    </xf>
    <xf numFmtId="0" fontId="14" fillId="20" borderId="4"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36" fillId="3" borderId="36" xfId="3" applyFont="1" applyFill="1" applyBorder="1" applyAlignment="1" applyProtection="1">
      <alignment horizontal="left" vertical="center" wrapText="1"/>
      <protection hidden="1"/>
    </xf>
    <xf numFmtId="0" fontId="136" fillId="5" borderId="36" xfId="3" applyFont="1" applyFill="1" applyBorder="1" applyAlignment="1" applyProtection="1">
      <alignment horizontal="left" vertical="center" wrapText="1"/>
      <protection hidden="1"/>
    </xf>
    <xf numFmtId="0" fontId="21" fillId="2" borderId="0" xfId="2" applyFont="1" applyFill="1" applyBorder="1" applyAlignment="1" applyProtection="1">
      <alignment horizontal="left" indent="1"/>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3" fillId="29"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6"/>
      <protection hidden="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indent="5"/>
      <protection hidden="1"/>
    </xf>
    <xf numFmtId="0" fontId="13" fillId="5" borderId="7" xfId="0" applyFont="1" applyFill="1" applyBorder="1" applyAlignment="1" applyProtection="1">
      <alignment horizontal="center" vertical="center"/>
      <protection hidden="1"/>
    </xf>
    <xf numFmtId="0" fontId="2" fillId="36" borderId="4" xfId="0" applyFont="1" applyFill="1" applyBorder="1" applyAlignment="1" applyProtection="1">
      <alignment horizontal="left" vertical="center" wrapText="1"/>
      <protection hidden="1"/>
    </xf>
    <xf numFmtId="0" fontId="2" fillId="36" borderId="4" xfId="0" applyFont="1" applyFill="1" applyBorder="1" applyAlignment="1" applyProtection="1">
      <alignment horizontal="center" vertical="center" wrapText="1"/>
      <protection hidden="1"/>
    </xf>
    <xf numFmtId="0" fontId="0" fillId="36" borderId="0" xfId="0" applyFill="1" applyProtection="1">
      <protection hidden="1"/>
    </xf>
    <xf numFmtId="0" fontId="0" fillId="36" borderId="0" xfId="0" applyFill="1" applyAlignment="1" applyProtection="1">
      <alignment wrapText="1"/>
      <protection hidden="1"/>
    </xf>
    <xf numFmtId="0" fontId="2" fillId="36" borderId="4" xfId="0" applyFont="1" applyFill="1" applyBorder="1" applyAlignment="1" applyProtection="1">
      <alignment vertical="center" wrapText="1"/>
      <protection hidden="1"/>
    </xf>
    <xf numFmtId="0" fontId="2" fillId="36" borderId="4" xfId="0" applyFont="1" applyFill="1" applyBorder="1" applyAlignment="1" applyProtection="1">
      <alignment horizontal="center" vertical="center" wrapText="1"/>
      <protection hidden="1"/>
    </xf>
    <xf numFmtId="0" fontId="14" fillId="15" borderId="4" xfId="0" applyFont="1" applyFill="1" applyBorder="1" applyAlignment="1">
      <alignment horizontal="left" vertical="center" wrapText="1" indent="1"/>
    </xf>
    <xf numFmtId="0" fontId="13" fillId="6" borderId="10" xfId="0" applyFont="1" applyFill="1" applyBorder="1" applyAlignment="1" applyProtection="1">
      <alignment horizontal="left" vertical="center" indent="1"/>
      <protection hidden="1"/>
    </xf>
    <xf numFmtId="0" fontId="2" fillId="36"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2" fillId="36" borderId="4" xfId="0" applyFont="1" applyFill="1" applyBorder="1" applyAlignment="1">
      <alignment vertical="center" wrapText="1"/>
    </xf>
    <xf numFmtId="0" fontId="14" fillId="15" borderId="28" xfId="0" applyFont="1" applyFill="1" applyBorder="1" applyAlignment="1">
      <alignment horizontal="left" vertical="center" wrapText="1" indent="1"/>
    </xf>
    <xf numFmtId="0" fontId="208" fillId="27" borderId="0" xfId="3" applyFont="1" applyFill="1" applyAlignment="1" applyProtection="1">
      <alignment horizontal="left"/>
      <protection hidden="1"/>
    </xf>
    <xf numFmtId="0" fontId="0" fillId="2"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indent="7"/>
      <protection hidden="1"/>
    </xf>
    <xf numFmtId="0" fontId="14" fillId="20" borderId="4"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78" fillId="15" borderId="4" xfId="0" applyFont="1" applyFill="1" applyBorder="1" applyAlignment="1">
      <alignment horizontal="center" vertical="center" wrapText="1"/>
    </xf>
    <xf numFmtId="0" fontId="13" fillId="6" borderId="7"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20" fillId="11" borderId="0" xfId="2" applyFont="1" applyFill="1" applyBorder="1" applyAlignment="1">
      <alignment horizontal="center" vertical="center"/>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2" fillId="10" borderId="49" xfId="2" applyFill="1" applyBorder="1" applyAlignment="1">
      <alignment horizontal="left" indent="8"/>
    </xf>
    <xf numFmtId="0" fontId="2" fillId="10" borderId="0" xfId="2" applyFill="1" applyBorder="1" applyAlignment="1">
      <alignment horizontal="left" indent="8"/>
    </xf>
    <xf numFmtId="0" fontId="2" fillId="10" borderId="50" xfId="2" applyFill="1" applyBorder="1" applyAlignment="1">
      <alignment horizontal="left" indent="8"/>
    </xf>
    <xf numFmtId="0" fontId="14" fillId="20" borderId="157" xfId="0" applyFont="1" applyFill="1" applyBorder="1" applyAlignment="1" applyProtection="1">
      <alignment horizontal="center" vertical="center" wrapText="1"/>
      <protection locked="0"/>
    </xf>
    <xf numFmtId="0" fontId="2" fillId="11" borderId="0" xfId="2" applyFont="1" applyFill="1" applyBorder="1" applyAlignment="1">
      <alignment vertical="center" wrapText="1"/>
    </xf>
    <xf numFmtId="0" fontId="47" fillId="6" borderId="7" xfId="0" applyFont="1" applyFill="1" applyBorder="1" applyAlignment="1">
      <alignment horizontal="center" vertical="center" wrapText="1"/>
    </xf>
    <xf numFmtId="17" fontId="78" fillId="15" borderId="4" xfId="0" applyNumberFormat="1" applyFont="1" applyFill="1" applyBorder="1" applyAlignment="1">
      <alignment horizontal="center" vertical="center" wrapText="1"/>
    </xf>
    <xf numFmtId="16" fontId="78" fillId="15" borderId="4" xfId="0" applyNumberFormat="1" applyFont="1" applyFill="1" applyBorder="1" applyAlignment="1">
      <alignment horizontal="center" vertical="center" wrapText="1"/>
    </xf>
    <xf numFmtId="0" fontId="2" fillId="2" borderId="0" xfId="2" applyFill="1" applyBorder="1" applyAlignment="1">
      <alignment horizontal="left" indent="1"/>
    </xf>
    <xf numFmtId="0" fontId="0" fillId="0" borderId="0" xfId="0" applyAlignment="1">
      <alignment horizontal="left" indent="1"/>
    </xf>
    <xf numFmtId="0" fontId="0" fillId="0" borderId="0" xfId="0" applyAlignment="1">
      <alignment wrapText="1"/>
    </xf>
    <xf numFmtId="0" fontId="0" fillId="0" borderId="0" xfId="0" applyAlignment="1">
      <alignment horizontal="left" vertical="center" wrapText="1"/>
    </xf>
    <xf numFmtId="0" fontId="14" fillId="10" borderId="20" xfId="0" applyFont="1" applyFill="1" applyBorder="1" applyAlignment="1" applyProtection="1">
      <alignment horizontal="center" vertical="center" wrapText="1"/>
      <protection hidden="1"/>
    </xf>
    <xf numFmtId="0" fontId="14" fillId="10" borderId="158" xfId="0" applyFont="1" applyFill="1" applyBorder="1" applyAlignment="1" applyProtection="1">
      <alignment horizontal="center" vertical="center" wrapText="1"/>
      <protection hidden="1"/>
    </xf>
    <xf numFmtId="0" fontId="14" fillId="10" borderId="155"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36" fillId="5" borderId="36" xfId="3" applyFont="1" applyFill="1" applyBorder="1" applyAlignment="1" applyProtection="1">
      <alignment horizontal="left" vertical="center" wrapText="1"/>
      <protection hidden="1"/>
    </xf>
    <xf numFmtId="0" fontId="136" fillId="5" borderId="22" xfId="3" applyFont="1" applyFill="1" applyBorder="1" applyAlignment="1" applyProtection="1">
      <alignment horizontal="left" vertical="center" wrapText="1"/>
      <protection hidden="1"/>
    </xf>
    <xf numFmtId="0" fontId="2" fillId="36" borderId="4" xfId="0" applyFont="1" applyFill="1" applyBorder="1" applyAlignment="1" applyProtection="1">
      <alignment horizontal="center" vertical="center" wrapText="1"/>
      <protection hidden="1"/>
    </xf>
    <xf numFmtId="0" fontId="136" fillId="21" borderId="36" xfId="3" applyFont="1" applyFill="1" applyBorder="1" applyAlignment="1" applyProtection="1">
      <alignment horizontal="left" vertical="center" wrapText="1"/>
      <protection hidden="1"/>
    </xf>
    <xf numFmtId="0" fontId="136" fillId="21" borderId="22" xfId="3" applyFont="1" applyFill="1" applyBorder="1" applyAlignment="1" applyProtection="1">
      <alignment horizontal="left" vertical="center" wrapText="1"/>
      <protection hidden="1"/>
    </xf>
    <xf numFmtId="0" fontId="26" fillId="7" borderId="36" xfId="3" applyFill="1" applyBorder="1" applyAlignment="1" applyProtection="1">
      <alignment horizontal="left" vertical="center" wrapText="1"/>
      <protection hidden="1"/>
    </xf>
    <xf numFmtId="0" fontId="26" fillId="7" borderId="22" xfId="3" applyFill="1" applyBorder="1" applyAlignment="1" applyProtection="1">
      <alignment horizontal="left" vertical="center" wrapText="1"/>
      <protection hidden="1"/>
    </xf>
    <xf numFmtId="0" fontId="2" fillId="36" borderId="10" xfId="0" applyFont="1" applyFill="1" applyBorder="1" applyAlignment="1" applyProtection="1">
      <alignment horizontal="center" vertical="center" wrapText="1"/>
      <protection hidden="1"/>
    </xf>
    <xf numFmtId="0" fontId="2" fillId="36" borderId="7" xfId="0" applyFont="1" applyFill="1" applyBorder="1" applyAlignment="1" applyProtection="1">
      <alignment horizontal="center" vertical="center" wrapText="1"/>
      <protection hidden="1"/>
    </xf>
    <xf numFmtId="0" fontId="2" fillId="36" borderId="8" xfId="0" applyFont="1" applyFill="1" applyBorder="1" applyAlignment="1" applyProtection="1">
      <alignment horizontal="center" vertical="center" wrapText="1"/>
      <protection hidden="1"/>
    </xf>
    <xf numFmtId="0" fontId="136" fillId="29" borderId="82" xfId="3" applyFont="1" applyFill="1" applyBorder="1" applyAlignment="1" applyProtection="1">
      <alignment horizontal="left" vertical="center" wrapText="1"/>
      <protection hidden="1"/>
    </xf>
    <xf numFmtId="0" fontId="136" fillId="29" borderId="83" xfId="3" applyFont="1" applyFill="1" applyBorder="1" applyAlignment="1" applyProtection="1">
      <alignment horizontal="left" vertical="center" wrapText="1"/>
      <protection hidden="1"/>
    </xf>
    <xf numFmtId="0" fontId="136" fillId="21" borderId="39" xfId="3" applyFont="1" applyFill="1" applyBorder="1" applyAlignment="1" applyProtection="1">
      <alignment horizontal="left" vertical="center" wrapText="1"/>
      <protection hidden="1"/>
    </xf>
    <xf numFmtId="0" fontId="136" fillId="6" borderId="36" xfId="3" applyFont="1" applyFill="1" applyBorder="1" applyAlignment="1" applyProtection="1">
      <alignment horizontal="left" vertical="center" wrapText="1"/>
      <protection hidden="1"/>
    </xf>
    <xf numFmtId="0" fontId="136" fillId="6" borderId="39" xfId="3" applyFont="1" applyFill="1" applyBorder="1" applyAlignment="1" applyProtection="1">
      <alignment horizontal="left" vertical="center" wrapText="1"/>
      <protection hidden="1"/>
    </xf>
    <xf numFmtId="0" fontId="136" fillId="6" borderId="22" xfId="3" applyFont="1" applyFill="1" applyBorder="1" applyAlignment="1" applyProtection="1">
      <alignment horizontal="left" vertical="center" wrapText="1"/>
      <protection hidden="1"/>
    </xf>
    <xf numFmtId="0" fontId="136" fillId="16" borderId="82" xfId="3" applyFont="1" applyFill="1" applyBorder="1" applyAlignment="1" applyProtection="1">
      <alignment horizontal="left" vertical="center" wrapText="1"/>
      <protection hidden="1"/>
    </xf>
    <xf numFmtId="0" fontId="136" fillId="16" borderId="83" xfId="3" applyFont="1" applyFill="1" applyBorder="1" applyAlignment="1" applyProtection="1">
      <alignment horizontal="left" vertical="center" wrapText="1"/>
      <protection hidden="1"/>
    </xf>
    <xf numFmtId="0" fontId="0" fillId="7" borderId="0" xfId="0" applyFill="1" applyAlignment="1">
      <alignment horizontal="center"/>
    </xf>
    <xf numFmtId="0" fontId="136" fillId="21" borderId="82" xfId="3" applyFont="1" applyFill="1" applyBorder="1" applyAlignment="1" applyProtection="1">
      <alignment horizontal="left" vertical="center" wrapText="1"/>
      <protection hidden="1"/>
    </xf>
    <xf numFmtId="0" fontId="136" fillId="21" borderId="94" xfId="3" applyFont="1" applyFill="1" applyBorder="1" applyAlignment="1" applyProtection="1">
      <alignment horizontal="left" vertical="center" wrapText="1"/>
      <protection hidden="1"/>
    </xf>
    <xf numFmtId="0" fontId="136" fillId="21" borderId="83" xfId="3" applyFont="1" applyFill="1" applyBorder="1" applyAlignment="1" applyProtection="1">
      <alignment horizontal="left" vertical="center" wrapText="1"/>
      <protection hidden="1"/>
    </xf>
    <xf numFmtId="0" fontId="2" fillId="35" borderId="4" xfId="0" applyFont="1" applyFill="1" applyBorder="1" applyAlignment="1" applyProtection="1">
      <alignment horizontal="center" vertical="center" wrapText="1"/>
      <protection hidden="1"/>
    </xf>
    <xf numFmtId="0" fontId="136" fillId="29" borderId="94" xfId="3" applyFont="1" applyFill="1" applyBorder="1" applyAlignment="1" applyProtection="1">
      <alignment horizontal="left" vertical="center" wrapText="1"/>
      <protection hidden="1"/>
    </xf>
    <xf numFmtId="0" fontId="136" fillId="13" borderId="82" xfId="3" applyFont="1" applyFill="1" applyBorder="1" applyAlignment="1" applyProtection="1">
      <alignment horizontal="left" vertical="center" wrapText="1"/>
      <protection hidden="1"/>
    </xf>
    <xf numFmtId="0" fontId="136" fillId="13" borderId="94" xfId="3" applyFont="1" applyFill="1" applyBorder="1" applyAlignment="1" applyProtection="1">
      <alignment horizontal="left" vertical="center" wrapText="1"/>
      <protection hidden="1"/>
    </xf>
    <xf numFmtId="0" fontId="136" fillId="13" borderId="83" xfId="3" applyFont="1" applyFill="1" applyBorder="1" applyAlignment="1" applyProtection="1">
      <alignment horizontal="left" vertical="center" wrapText="1"/>
      <protection hidden="1"/>
    </xf>
    <xf numFmtId="0" fontId="136" fillId="6" borderId="82" xfId="3" applyFont="1" applyFill="1" applyBorder="1" applyAlignment="1" applyProtection="1">
      <alignment horizontal="left" vertical="center" wrapText="1"/>
      <protection hidden="1"/>
    </xf>
    <xf numFmtId="0" fontId="136" fillId="6" borderId="94" xfId="3" applyFont="1" applyFill="1" applyBorder="1" applyAlignment="1" applyProtection="1">
      <alignment horizontal="left" vertical="center" wrapText="1"/>
      <protection hidden="1"/>
    </xf>
    <xf numFmtId="0" fontId="136" fillId="6" borderId="83" xfId="3" applyFont="1" applyFill="1" applyBorder="1" applyAlignment="1" applyProtection="1">
      <alignment horizontal="left" vertical="center" wrapText="1"/>
      <protection hidden="1"/>
    </xf>
    <xf numFmtId="0" fontId="136" fillId="16" borderId="94" xfId="3" applyFont="1" applyFill="1" applyBorder="1" applyAlignment="1" applyProtection="1">
      <alignment horizontal="left" vertical="center" wrapText="1"/>
      <protection hidden="1"/>
    </xf>
    <xf numFmtId="0" fontId="136" fillId="3" borderId="36" xfId="3" applyFont="1" applyFill="1" applyBorder="1" applyAlignment="1" applyProtection="1">
      <alignment horizontal="left" vertical="center" wrapText="1"/>
      <protection hidden="1"/>
    </xf>
    <xf numFmtId="0" fontId="136" fillId="3" borderId="22" xfId="3" applyFont="1" applyFill="1" applyBorder="1" applyAlignment="1" applyProtection="1">
      <alignment horizontal="left" vertical="center" wrapText="1"/>
      <protection hidden="1"/>
    </xf>
    <xf numFmtId="0" fontId="136" fillId="3" borderId="39" xfId="3" applyFont="1" applyFill="1" applyBorder="1" applyAlignment="1" applyProtection="1">
      <alignment horizontal="left" vertical="center" wrapText="1"/>
      <protection hidden="1"/>
    </xf>
    <xf numFmtId="0" fontId="136" fillId="5" borderId="82" xfId="3" applyFont="1" applyFill="1" applyBorder="1" applyAlignment="1" applyProtection="1">
      <alignment horizontal="left" vertical="center" wrapText="1"/>
      <protection hidden="1"/>
    </xf>
    <xf numFmtId="0" fontId="136" fillId="5" borderId="94" xfId="3" applyFont="1" applyFill="1" applyBorder="1" applyAlignment="1" applyProtection="1">
      <alignment horizontal="left" vertical="center" wrapText="1"/>
      <protection hidden="1"/>
    </xf>
    <xf numFmtId="0" fontId="136" fillId="5" borderId="83" xfId="3" applyFont="1" applyFill="1" applyBorder="1" applyAlignment="1" applyProtection="1">
      <alignment horizontal="left" vertical="center" wrapText="1"/>
      <protection hidden="1"/>
    </xf>
    <xf numFmtId="0" fontId="136" fillId="6" borderId="82" xfId="3" applyFont="1" applyFill="1" applyBorder="1" applyAlignment="1" applyProtection="1">
      <alignment horizontal="center" vertical="center" wrapText="1"/>
      <protection hidden="1"/>
    </xf>
    <xf numFmtId="0" fontId="136" fillId="6" borderId="94" xfId="3" applyFont="1" applyFill="1" applyBorder="1" applyAlignment="1" applyProtection="1">
      <alignment horizontal="center" vertical="center" wrapText="1"/>
      <protection hidden="1"/>
    </xf>
    <xf numFmtId="0" fontId="136" fillId="6" borderId="83" xfId="3" applyFont="1" applyFill="1" applyBorder="1" applyAlignment="1" applyProtection="1">
      <alignment horizontal="center" vertical="center" wrapText="1"/>
      <protection hidden="1"/>
    </xf>
    <xf numFmtId="0" fontId="161" fillId="11" borderId="0" xfId="0" applyFont="1" applyFill="1" applyAlignment="1" applyProtection="1">
      <alignment horizontal="center"/>
      <protection hidden="1"/>
    </xf>
    <xf numFmtId="0" fontId="58" fillId="11" borderId="0" xfId="0" applyFont="1" applyFill="1" applyAlignment="1" applyProtection="1">
      <alignment horizontal="left" indent="1"/>
      <protection hidden="1"/>
    </xf>
    <xf numFmtId="0" fontId="9" fillId="33" borderId="0" xfId="0" applyFont="1" applyFill="1" applyBorder="1" applyAlignment="1" applyProtection="1">
      <alignment horizontal="left" vertical="center" indent="1"/>
      <protection hidden="1"/>
    </xf>
    <xf numFmtId="0" fontId="5" fillId="33" borderId="0" xfId="0" applyFont="1" applyFill="1" applyAlignment="1" applyProtection="1">
      <alignment horizontal="left" vertical="center" indent="1"/>
      <protection hidden="1"/>
    </xf>
    <xf numFmtId="0" fontId="14" fillId="11" borderId="0" xfId="0" applyFont="1" applyFill="1" applyAlignment="1">
      <alignment horizontal="left" vertical="center" wrapText="1"/>
    </xf>
    <xf numFmtId="0" fontId="8" fillId="0" borderId="0" xfId="3" applyFont="1" applyAlignment="1">
      <alignment vertical="center" wrapText="1"/>
    </xf>
    <xf numFmtId="0" fontId="206" fillId="11" borderId="0" xfId="0" applyFont="1" applyFill="1" applyBorder="1" applyAlignment="1">
      <alignment horizontal="justify" vertical="center" wrapText="1"/>
    </xf>
    <xf numFmtId="0" fontId="0" fillId="2" borderId="0" xfId="0" applyFill="1" applyAlignment="1" applyProtection="1">
      <alignment horizontal="left" vertical="top" wrapText="1" indent="1"/>
      <protection hidden="1"/>
    </xf>
    <xf numFmtId="0" fontId="74" fillId="2" borderId="0" xfId="0" applyFont="1" applyFill="1" applyAlignment="1">
      <alignment horizontal="left" vertical="center" wrapText="1" indent="2"/>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top"/>
      <protection hidden="1"/>
    </xf>
    <xf numFmtId="0" fontId="74" fillId="2" borderId="0" xfId="0" applyFont="1" applyFill="1" applyBorder="1" applyAlignment="1">
      <alignment horizontal="justify" vertical="center" wrapText="1"/>
    </xf>
    <xf numFmtId="0" fontId="157" fillId="2" borderId="0" xfId="0" applyFont="1" applyFill="1" applyAlignment="1" applyProtection="1">
      <alignment horizontal="left" vertical="top" wrapText="1"/>
      <protection hidden="1"/>
    </xf>
    <xf numFmtId="0" fontId="0" fillId="2" borderId="0" xfId="0" applyFont="1" applyFill="1" applyBorder="1" applyAlignment="1">
      <alignment horizontal="left" vertical="center" wrapText="1" indent="1"/>
    </xf>
    <xf numFmtId="0" fontId="157" fillId="2" borderId="0" xfId="0" applyFont="1" applyFill="1" applyAlignment="1" applyProtection="1">
      <alignment horizontal="left" wrapText="1"/>
      <protection hidden="1"/>
    </xf>
    <xf numFmtId="0" fontId="0" fillId="2" borderId="0" xfId="0" applyFill="1" applyAlignment="1" applyProtection="1">
      <alignment horizontal="left" vertical="top" wrapText="1"/>
      <protection hidden="1"/>
    </xf>
    <xf numFmtId="0" fontId="44" fillId="2" borderId="0" xfId="0" applyFont="1" applyFill="1" applyAlignment="1" applyProtection="1">
      <alignment horizontal="left" vertical="top" wrapText="1" indent="2"/>
      <protection hidden="1"/>
    </xf>
    <xf numFmtId="0" fontId="96" fillId="2" borderId="0" xfId="0" applyFont="1" applyFill="1" applyAlignment="1" applyProtection="1">
      <alignment horizontal="left" vertical="top" wrapText="1"/>
      <protection hidden="1"/>
    </xf>
    <xf numFmtId="0" fontId="140" fillId="33" borderId="0" xfId="0" applyFont="1" applyFill="1" applyBorder="1" applyAlignment="1" applyProtection="1">
      <alignment horizontal="center" vertical="center"/>
      <protection hidden="1"/>
    </xf>
    <xf numFmtId="0" fontId="26" fillId="33" borderId="0" xfId="3" applyFont="1" applyFill="1" applyAlignment="1" applyProtection="1">
      <alignment horizontal="left"/>
      <protection hidden="1"/>
    </xf>
    <xf numFmtId="0" fontId="122" fillId="33" borderId="0" xfId="0" applyFont="1" applyFill="1" applyAlignment="1" applyProtection="1">
      <alignment horizontal="left"/>
      <protection hidden="1"/>
    </xf>
    <xf numFmtId="0" fontId="138" fillId="33" borderId="0" xfId="0" applyFont="1" applyFill="1" applyBorder="1" applyAlignment="1" applyProtection="1">
      <alignment horizontal="left" vertical="center" indent="1"/>
      <protection hidden="1"/>
    </xf>
    <xf numFmtId="0" fontId="71" fillId="33" borderId="0" xfId="0" applyFont="1" applyFill="1" applyBorder="1" applyAlignment="1" applyProtection="1">
      <alignment horizontal="left" vertical="center" indent="1"/>
      <protection hidden="1"/>
    </xf>
    <xf numFmtId="0" fontId="0" fillId="2" borderId="0" xfId="0" applyFill="1" applyBorder="1" applyAlignment="1">
      <alignment horizontal="left" vertical="center" wrapText="1" indent="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ill="1" applyBorder="1" applyAlignment="1">
      <alignment horizontal="justify" vertical="center" wrapText="1"/>
    </xf>
    <xf numFmtId="0" fontId="74" fillId="2" borderId="0" xfId="0" applyFont="1" applyFill="1" applyAlignment="1">
      <alignment horizontal="left" vertical="center" wrapText="1" indent="1"/>
    </xf>
    <xf numFmtId="0" fontId="74" fillId="2" borderId="0" xfId="0" applyFont="1" applyFill="1" applyAlignment="1">
      <alignment horizontal="left" vertical="center" wrapText="1" indent="3"/>
    </xf>
    <xf numFmtId="0" fontId="0" fillId="2" borderId="0" xfId="0" applyFont="1" applyFill="1" applyAlignment="1" applyProtection="1">
      <alignment horizontal="left" vertical="center" wrapText="1" indent="1"/>
      <protection hidden="1"/>
    </xf>
    <xf numFmtId="0" fontId="0" fillId="2" borderId="0" xfId="0" applyFont="1" applyFill="1" applyAlignment="1" applyProtection="1">
      <alignment horizontal="left" vertical="top" wrapText="1" indent="1"/>
      <protection hidden="1"/>
    </xf>
    <xf numFmtId="0" fontId="0" fillId="2" borderId="0" xfId="0" applyFont="1" applyFill="1" applyAlignment="1" applyProtection="1">
      <alignment horizontal="left" vertical="top" wrapText="1" indent="2"/>
      <protection hidden="1"/>
    </xf>
    <xf numFmtId="0" fontId="157" fillId="2" borderId="0" xfId="0" applyFont="1" applyFill="1" applyAlignment="1" applyProtection="1">
      <alignment horizontal="left" vertical="center" wrapText="1"/>
      <protection hidden="1"/>
    </xf>
    <xf numFmtId="0" fontId="157" fillId="2" borderId="0" xfId="0" applyFont="1" applyFill="1" applyAlignment="1" applyProtection="1">
      <alignment horizontal="left"/>
      <protection hidden="1"/>
    </xf>
    <xf numFmtId="0" fontId="142" fillId="33" borderId="0" xfId="0" applyFont="1" applyFill="1" applyBorder="1" applyAlignment="1" applyProtection="1">
      <alignment horizontal="center" vertical="center"/>
      <protection hidden="1"/>
    </xf>
    <xf numFmtId="0" fontId="136" fillId="33" borderId="0" xfId="0" applyFont="1" applyFill="1" applyAlignment="1" applyProtection="1">
      <alignment horizontal="left"/>
      <protection hidden="1"/>
    </xf>
    <xf numFmtId="0" fontId="74" fillId="10" borderId="36" xfId="0" applyFont="1" applyFill="1" applyBorder="1" applyAlignment="1" applyProtection="1">
      <alignment horizontal="left" vertical="center" indent="1"/>
      <protection hidden="1"/>
    </xf>
    <xf numFmtId="0" fontId="74" fillId="10" borderId="37" xfId="0" applyFont="1" applyFill="1" applyBorder="1" applyAlignment="1" applyProtection="1">
      <alignment horizontal="left" vertical="center" indent="1"/>
      <protection hidden="1"/>
    </xf>
    <xf numFmtId="0" fontId="74" fillId="10" borderId="38" xfId="0" applyFont="1" applyFill="1" applyBorder="1" applyAlignment="1" applyProtection="1">
      <alignment horizontal="left" vertical="center" indent="1"/>
      <protection hidden="1"/>
    </xf>
    <xf numFmtId="0" fontId="74" fillId="10" borderId="39" xfId="0" applyFont="1" applyFill="1" applyBorder="1" applyAlignment="1" applyProtection="1">
      <alignment horizontal="left" vertical="center" indent="2"/>
      <protection hidden="1"/>
    </xf>
    <xf numFmtId="0" fontId="74" fillId="10" borderId="0" xfId="0" applyFont="1" applyFill="1" applyBorder="1" applyAlignment="1" applyProtection="1">
      <alignment horizontal="left" vertical="center" indent="2"/>
      <protection hidden="1"/>
    </xf>
    <xf numFmtId="0" fontId="74" fillId="10" borderId="40" xfId="0" applyFont="1" applyFill="1" applyBorder="1" applyAlignment="1" applyProtection="1">
      <alignment horizontal="left" vertical="center" indent="2"/>
      <protection hidden="1"/>
    </xf>
    <xf numFmtId="0" fontId="74" fillId="10" borderId="22" xfId="0" applyFont="1" applyFill="1" applyBorder="1" applyAlignment="1" applyProtection="1">
      <alignment horizontal="left" vertical="center" indent="2"/>
      <protection hidden="1"/>
    </xf>
    <xf numFmtId="0" fontId="74" fillId="10" borderId="23" xfId="0" applyFont="1" applyFill="1" applyBorder="1" applyAlignment="1" applyProtection="1">
      <alignment horizontal="left" vertical="center" indent="2"/>
      <protection hidden="1"/>
    </xf>
    <xf numFmtId="0" fontId="74" fillId="10" borderId="24" xfId="0" applyFont="1" applyFill="1" applyBorder="1" applyAlignment="1" applyProtection="1">
      <alignment horizontal="left" vertical="center" indent="2"/>
      <protection hidden="1"/>
    </xf>
    <xf numFmtId="0" fontId="151" fillId="33" borderId="7" xfId="0" applyFont="1" applyFill="1" applyBorder="1" applyAlignment="1">
      <alignment horizontal="center" vertical="center"/>
    </xf>
    <xf numFmtId="0" fontId="151" fillId="33" borderId="8" xfId="0" applyFont="1" applyFill="1" applyBorder="1" applyAlignment="1">
      <alignment horizontal="center" vertical="center"/>
    </xf>
    <xf numFmtId="0" fontId="2" fillId="10" borderId="29" xfId="0" applyFont="1" applyFill="1" applyBorder="1" applyAlignment="1">
      <alignment horizontal="center" vertical="center"/>
    </xf>
    <xf numFmtId="0" fontId="2" fillId="10" borderId="30" xfId="0" applyFont="1" applyFill="1" applyBorder="1" applyAlignment="1">
      <alignment horizontal="center" vertical="center"/>
    </xf>
    <xf numFmtId="0" fontId="151" fillId="33" borderId="10" xfId="0" applyFont="1" applyFill="1" applyBorder="1" applyAlignment="1">
      <alignment horizontal="center" vertical="center"/>
    </xf>
    <xf numFmtId="0" fontId="2" fillId="10" borderId="35"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31" xfId="0" applyFont="1" applyFill="1" applyBorder="1" applyAlignment="1">
      <alignment horizontal="center" vertical="center"/>
    </xf>
    <xf numFmtId="0" fontId="143" fillId="10" borderId="0" xfId="2" applyFont="1" applyFill="1" applyBorder="1" applyAlignment="1">
      <alignment horizontal="left" vertical="center" indent="7"/>
    </xf>
    <xf numFmtId="0" fontId="80" fillId="33" borderId="0" xfId="0" applyFont="1" applyFill="1" applyBorder="1" applyAlignment="1" applyProtection="1">
      <alignment horizontal="left" vertical="center" indent="1"/>
      <protection hidden="1"/>
    </xf>
    <xf numFmtId="3" fontId="126" fillId="20" borderId="4" xfId="0" applyNumberFormat="1" applyFont="1" applyFill="1" applyBorder="1" applyAlignment="1" applyProtection="1">
      <alignment horizontal="center" vertical="center"/>
      <protection locked="0"/>
    </xf>
    <xf numFmtId="0" fontId="74" fillId="10" borderId="4" xfId="0" applyFont="1" applyFill="1" applyBorder="1" applyAlignment="1">
      <alignment horizontal="left" vertical="center" wrapText="1"/>
    </xf>
    <xf numFmtId="0" fontId="158" fillId="10" borderId="0" xfId="2" applyFont="1" applyFill="1" applyBorder="1" applyAlignment="1">
      <alignment horizontal="center" vertical="center"/>
    </xf>
    <xf numFmtId="3" fontId="8" fillId="20" borderId="10" xfId="0" applyNumberFormat="1" applyFont="1" applyFill="1" applyBorder="1" applyAlignment="1" applyProtection="1">
      <alignment horizontal="left" vertical="center"/>
      <protection locked="0"/>
    </xf>
    <xf numFmtId="3" fontId="8" fillId="20" borderId="7" xfId="0" applyNumberFormat="1" applyFont="1" applyFill="1" applyBorder="1" applyAlignment="1" applyProtection="1">
      <alignment horizontal="left" vertical="center"/>
      <protection locked="0"/>
    </xf>
    <xf numFmtId="3" fontId="8" fillId="20" borderId="8" xfId="0" applyNumberFormat="1" applyFont="1" applyFill="1" applyBorder="1" applyAlignment="1" applyProtection="1">
      <alignment horizontal="left" vertical="center"/>
      <protection locked="0"/>
    </xf>
    <xf numFmtId="0" fontId="8" fillId="4" borderId="34" xfId="0" applyFont="1" applyFill="1" applyBorder="1" applyAlignment="1">
      <alignment horizontal="left" vertical="center"/>
    </xf>
    <xf numFmtId="0" fontId="8" fillId="4" borderId="53" xfId="0" applyFont="1" applyFill="1" applyBorder="1" applyAlignment="1">
      <alignment horizontal="left" vertical="center"/>
    </xf>
    <xf numFmtId="0" fontId="8" fillId="4" borderId="28" xfId="0" applyFont="1" applyFill="1" applyBorder="1" applyAlignment="1">
      <alignment horizontal="left" vertical="center"/>
    </xf>
    <xf numFmtId="0" fontId="68" fillId="10" borderId="0" xfId="0" applyFont="1" applyFill="1" applyAlignment="1">
      <alignment horizontal="left" vertical="center" wrapText="1" indent="8"/>
    </xf>
    <xf numFmtId="0" fontId="68" fillId="10" borderId="0" xfId="0" applyFont="1" applyFill="1" applyAlignment="1">
      <alignment horizontal="left" vertical="center" indent="8"/>
    </xf>
    <xf numFmtId="0" fontId="4" fillId="33" borderId="6" xfId="0" applyFont="1" applyFill="1" applyBorder="1" applyAlignment="1">
      <alignment horizontal="left" vertical="center" indent="1"/>
    </xf>
    <xf numFmtId="0" fontId="4" fillId="33" borderId="9" xfId="0" applyFont="1" applyFill="1" applyBorder="1" applyAlignment="1">
      <alignment horizontal="left" vertical="center" indent="1"/>
    </xf>
    <xf numFmtId="3" fontId="8" fillId="20" borderId="4" xfId="0" applyNumberFormat="1" applyFont="1" applyFill="1" applyBorder="1" applyAlignment="1" applyProtection="1">
      <alignment horizontal="left" vertical="center"/>
      <protection locked="0"/>
    </xf>
    <xf numFmtId="3" fontId="8" fillId="20" borderId="10" xfId="0" applyNumberFormat="1" applyFont="1" applyFill="1" applyBorder="1" applyAlignment="1" applyProtection="1">
      <alignment horizontal="center" vertical="center"/>
      <protection locked="0"/>
    </xf>
    <xf numFmtId="3" fontId="8" fillId="20" borderId="8" xfId="0" applyNumberFormat="1" applyFont="1" applyFill="1" applyBorder="1" applyAlignment="1" applyProtection="1">
      <alignment horizontal="center" vertical="center"/>
      <protection locked="0"/>
    </xf>
    <xf numFmtId="3" fontId="8" fillId="20" borderId="4" xfId="0" applyNumberFormat="1" applyFont="1" applyFill="1" applyBorder="1" applyAlignment="1" applyProtection="1">
      <alignment horizontal="center" vertical="center"/>
      <protection locked="0"/>
    </xf>
    <xf numFmtId="3" fontId="8" fillId="4" borderId="10" xfId="0" applyNumberFormat="1" applyFont="1" applyFill="1" applyBorder="1" applyAlignment="1" applyProtection="1">
      <alignment horizontal="center" vertical="center"/>
      <protection locked="0"/>
    </xf>
    <xf numFmtId="3" fontId="8" fillId="4" borderId="8" xfId="0" applyNumberFormat="1" applyFont="1" applyFill="1" applyBorder="1" applyAlignment="1" applyProtection="1">
      <alignment horizontal="center" vertical="center"/>
      <protection locked="0"/>
    </xf>
    <xf numFmtId="0" fontId="8" fillId="4" borderId="10" xfId="0" applyFont="1" applyFill="1" applyBorder="1" applyAlignment="1">
      <alignment horizontal="left" vertical="center" wrapText="1" indent="2"/>
    </xf>
    <xf numFmtId="0" fontId="8" fillId="4" borderId="7" xfId="0" applyFont="1" applyFill="1" applyBorder="1" applyAlignment="1">
      <alignment horizontal="left" vertical="center" wrapText="1" indent="2"/>
    </xf>
    <xf numFmtId="0" fontId="8" fillId="4" borderId="8" xfId="0" applyFont="1" applyFill="1" applyBorder="1" applyAlignment="1">
      <alignment horizontal="left" vertical="center" wrapText="1" indent="2"/>
    </xf>
    <xf numFmtId="0" fontId="18" fillId="0" borderId="0" xfId="0" applyFont="1" applyAlignment="1" applyProtection="1">
      <alignment horizontal="center" vertical="center"/>
      <protection hidden="1"/>
    </xf>
    <xf numFmtId="0" fontId="39" fillId="33" borderId="39" xfId="0" applyFont="1" applyFill="1" applyBorder="1" applyAlignment="1" applyProtection="1">
      <alignment horizontal="center" vertical="center" wrapText="1"/>
      <protection hidden="1"/>
    </xf>
    <xf numFmtId="0" fontId="39" fillId="33" borderId="0" xfId="0" applyFont="1" applyFill="1" applyBorder="1" applyAlignment="1" applyProtection="1">
      <alignment horizontal="center" vertical="center" wrapText="1"/>
      <protection hidden="1"/>
    </xf>
    <xf numFmtId="0" fontId="39" fillId="33" borderId="40" xfId="0" applyFont="1" applyFill="1" applyBorder="1" applyAlignment="1" applyProtection="1">
      <alignment horizontal="center" vertical="center" wrapText="1"/>
      <protection hidden="1"/>
    </xf>
    <xf numFmtId="0" fontId="39" fillId="33" borderId="22" xfId="0" applyFont="1" applyFill="1" applyBorder="1" applyAlignment="1" applyProtection="1">
      <alignment horizontal="center" vertical="center" wrapText="1"/>
      <protection hidden="1"/>
    </xf>
    <xf numFmtId="0" fontId="39" fillId="33" borderId="23" xfId="0" applyFont="1" applyFill="1" applyBorder="1" applyAlignment="1" applyProtection="1">
      <alignment horizontal="center" vertical="center" wrapText="1"/>
      <protection hidden="1"/>
    </xf>
    <xf numFmtId="0" fontId="39" fillId="33" borderId="24" xfId="0" applyFont="1" applyFill="1" applyBorder="1" applyAlignment="1" applyProtection="1">
      <alignment horizontal="center" vertical="center" wrapText="1"/>
      <protection hidden="1"/>
    </xf>
    <xf numFmtId="0" fontId="18" fillId="10" borderId="0" xfId="0" applyFont="1" applyFill="1" applyAlignment="1" applyProtection="1">
      <alignment horizontal="justify" vertical="center"/>
      <protection hidden="1"/>
    </xf>
    <xf numFmtId="0" fontId="18" fillId="10" borderId="0" xfId="0" applyFont="1" applyFill="1" applyAlignment="1" applyProtection="1">
      <alignment horizontal="justify" vertical="center" wrapText="1"/>
      <protection hidden="1"/>
    </xf>
    <xf numFmtId="0" fontId="185" fillId="33" borderId="81" xfId="0" applyFont="1" applyFill="1" applyBorder="1" applyAlignment="1" applyProtection="1">
      <alignment horizontal="left" vertical="center" wrapText="1"/>
      <protection hidden="1"/>
    </xf>
    <xf numFmtId="0" fontId="185" fillId="33" borderId="0" xfId="0" applyFont="1" applyFill="1" applyBorder="1" applyAlignment="1" applyProtection="1">
      <alignment horizontal="left" vertical="center" wrapText="1"/>
      <protection hidden="1"/>
    </xf>
    <xf numFmtId="0" fontId="18" fillId="15" borderId="17" xfId="0" applyFont="1" applyFill="1" applyBorder="1" applyAlignment="1" applyProtection="1">
      <alignment horizontal="left" vertical="center" wrapText="1"/>
      <protection hidden="1"/>
    </xf>
    <xf numFmtId="0" fontId="18" fillId="15" borderId="75" xfId="0" applyFont="1" applyFill="1" applyBorder="1" applyAlignment="1" applyProtection="1">
      <alignment horizontal="left" vertical="center" wrapText="1"/>
      <protection hidden="1"/>
    </xf>
    <xf numFmtId="0" fontId="18" fillId="19" borderId="17" xfId="0" applyFont="1" applyFill="1" applyBorder="1" applyAlignment="1" applyProtection="1">
      <alignment horizontal="justify" vertical="center" wrapText="1"/>
      <protection hidden="1"/>
    </xf>
    <xf numFmtId="0" fontId="18" fillId="19" borderId="106" xfId="0" applyFont="1" applyFill="1" applyBorder="1" applyAlignment="1" applyProtection="1">
      <alignment horizontal="justify" vertical="center" wrapText="1"/>
      <protection hidden="1"/>
    </xf>
    <xf numFmtId="0" fontId="18" fillId="19" borderId="75" xfId="0" applyFont="1" applyFill="1" applyBorder="1" applyAlignment="1" applyProtection="1">
      <alignment horizontal="justify" vertical="center" wrapText="1"/>
      <protection hidden="1"/>
    </xf>
    <xf numFmtId="0" fontId="18" fillId="15" borderId="4" xfId="0" applyFont="1" applyFill="1" applyBorder="1" applyAlignment="1" applyProtection="1">
      <alignment horizontal="left" vertical="center" wrapText="1"/>
      <protection hidden="1"/>
    </xf>
    <xf numFmtId="0" fontId="18" fillId="20" borderId="4" xfId="0" applyFont="1" applyFill="1" applyBorder="1" applyAlignment="1" applyProtection="1">
      <alignment horizontal="left" vertical="center" wrapText="1"/>
      <protection locked="0" hidden="1"/>
    </xf>
    <xf numFmtId="0" fontId="18" fillId="20" borderId="4" xfId="0" applyFont="1" applyFill="1" applyBorder="1" applyAlignment="1" applyProtection="1">
      <alignment horizontal="justify" vertical="center" wrapText="1"/>
      <protection locked="0" hidden="1"/>
    </xf>
    <xf numFmtId="0" fontId="39" fillId="33" borderId="36" xfId="0" applyFont="1" applyFill="1" applyBorder="1" applyAlignment="1" applyProtection="1">
      <alignment horizontal="center" vertical="top" wrapText="1"/>
      <protection hidden="1"/>
    </xf>
    <xf numFmtId="0" fontId="39" fillId="33" borderId="37" xfId="0" applyFont="1" applyFill="1" applyBorder="1" applyAlignment="1" applyProtection="1">
      <alignment horizontal="center" vertical="top" wrapText="1"/>
      <protection hidden="1"/>
    </xf>
    <xf numFmtId="0" fontId="39" fillId="33" borderId="38" xfId="0" applyFont="1" applyFill="1" applyBorder="1" applyAlignment="1" applyProtection="1">
      <alignment horizontal="center" vertical="top" wrapText="1"/>
      <protection hidden="1"/>
    </xf>
    <xf numFmtId="0" fontId="18" fillId="20" borderId="4" xfId="0" applyFont="1" applyFill="1" applyBorder="1" applyAlignment="1" applyProtection="1">
      <alignment horizontal="center" vertical="center" wrapText="1"/>
      <protection locked="0" hidden="1"/>
    </xf>
    <xf numFmtId="0" fontId="187" fillId="11" borderId="0" xfId="0" applyFont="1" applyFill="1" applyAlignment="1" applyProtection="1">
      <alignment horizontal="justify" vertical="center" wrapText="1"/>
      <protection hidden="1"/>
    </xf>
    <xf numFmtId="0" fontId="185" fillId="33" borderId="17" xfId="0" applyFont="1" applyFill="1" applyBorder="1" applyAlignment="1" applyProtection="1">
      <alignment horizontal="left" vertical="center" wrapText="1"/>
      <protection hidden="1"/>
    </xf>
    <xf numFmtId="0" fontId="185" fillId="33" borderId="106" xfId="0" applyFont="1" applyFill="1" applyBorder="1" applyAlignment="1" applyProtection="1">
      <alignment horizontal="left" vertical="center" wrapText="1"/>
      <protection hidden="1"/>
    </xf>
    <xf numFmtId="0" fontId="185" fillId="33" borderId="75" xfId="0" applyFont="1" applyFill="1" applyBorder="1" applyAlignment="1" applyProtection="1">
      <alignment horizontal="left" vertical="center" wrapText="1"/>
      <protection hidden="1"/>
    </xf>
    <xf numFmtId="0" fontId="8" fillId="4" borderId="80" xfId="0" applyFont="1" applyFill="1" applyBorder="1" applyAlignment="1" applyProtection="1">
      <alignment horizontal="left" vertical="center" wrapText="1"/>
      <protection hidden="1"/>
    </xf>
    <xf numFmtId="0" fontId="8" fillId="4" borderId="79" xfId="0" applyFont="1" applyFill="1" applyBorder="1" applyAlignment="1" applyProtection="1">
      <alignment horizontal="left" vertical="center" wrapText="1"/>
      <protection hidden="1"/>
    </xf>
    <xf numFmtId="0" fontId="8" fillId="4" borderId="76" xfId="0" applyFont="1" applyFill="1" applyBorder="1" applyAlignment="1" applyProtection="1">
      <alignment horizontal="left" vertical="center" wrapText="1"/>
      <protection hidden="1"/>
    </xf>
    <xf numFmtId="0" fontId="18" fillId="15" borderId="4" xfId="0" applyFont="1" applyFill="1" applyBorder="1" applyAlignment="1" applyProtection="1">
      <alignment horizontal="justify" vertical="center" wrapText="1"/>
      <protection hidden="1"/>
    </xf>
    <xf numFmtId="0" fontId="18" fillId="15" borderId="80" xfId="0" applyFont="1" applyFill="1" applyBorder="1" applyAlignment="1" applyProtection="1">
      <alignment horizontal="left" vertical="center" wrapText="1"/>
      <protection hidden="1"/>
    </xf>
    <xf numFmtId="0" fontId="18" fillId="15" borderId="79" xfId="0" applyFont="1" applyFill="1" applyBorder="1" applyAlignment="1" applyProtection="1">
      <alignment horizontal="left" vertical="center" wrapText="1"/>
      <protection hidden="1"/>
    </xf>
    <xf numFmtId="0" fontId="18" fillId="15" borderId="117" xfId="0" applyFont="1" applyFill="1" applyBorder="1" applyAlignment="1" applyProtection="1">
      <alignment horizontal="left" vertical="center" wrapText="1"/>
      <protection hidden="1"/>
    </xf>
    <xf numFmtId="0" fontId="18" fillId="15" borderId="108" xfId="0" applyFont="1" applyFill="1" applyBorder="1" applyAlignment="1" applyProtection="1">
      <alignment horizontal="left" vertical="center" wrapText="1"/>
      <protection hidden="1"/>
    </xf>
    <xf numFmtId="0" fontId="18" fillId="15" borderId="118" xfId="0" applyFont="1" applyFill="1" applyBorder="1" applyAlignment="1" applyProtection="1">
      <alignment horizontal="left" vertical="center" wrapText="1"/>
      <protection hidden="1"/>
    </xf>
    <xf numFmtId="0" fontId="18" fillId="20" borderId="117" xfId="0" applyFont="1" applyFill="1" applyBorder="1" applyAlignment="1" applyProtection="1">
      <alignment horizontal="justify" vertical="center" wrapText="1"/>
      <protection locked="0" hidden="1"/>
    </xf>
    <xf numFmtId="0" fontId="18" fillId="20" borderId="108" xfId="0" applyFont="1" applyFill="1" applyBorder="1" applyAlignment="1" applyProtection="1">
      <alignment horizontal="justify" vertical="center" wrapText="1"/>
      <protection locked="0" hidden="1"/>
    </xf>
    <xf numFmtId="0" fontId="18" fillId="20" borderId="109" xfId="0" applyFont="1" applyFill="1" applyBorder="1" applyAlignment="1" applyProtection="1">
      <alignment horizontal="justify" vertical="center" wrapText="1"/>
      <protection locked="0" hidden="1"/>
    </xf>
    <xf numFmtId="0" fontId="18" fillId="20" borderId="4" xfId="0" applyFont="1" applyFill="1" applyBorder="1" applyAlignment="1" applyProtection="1">
      <alignment horizontal="left" wrapText="1"/>
      <protection locked="0" hidden="1"/>
    </xf>
    <xf numFmtId="0" fontId="18" fillId="15" borderId="111" xfId="0" applyFont="1" applyFill="1" applyBorder="1" applyAlignment="1" applyProtection="1">
      <alignment horizontal="left" vertical="center" wrapText="1"/>
      <protection hidden="1"/>
    </xf>
    <xf numFmtId="0" fontId="18" fillId="15" borderId="8" xfId="0" applyFont="1" applyFill="1" applyBorder="1" applyAlignment="1" applyProtection="1">
      <alignment horizontal="left" vertical="center" wrapText="1"/>
      <protection hidden="1"/>
    </xf>
    <xf numFmtId="0" fontId="18" fillId="20" borderId="0" xfId="0" applyFont="1" applyFill="1" applyBorder="1" applyAlignment="1" applyProtection="1">
      <alignment horizontal="justify" vertical="center" wrapText="1"/>
      <protection locked="0" hidden="1"/>
    </xf>
    <xf numFmtId="0" fontId="18" fillId="20" borderId="77" xfId="0" applyFont="1" applyFill="1" applyBorder="1" applyAlignment="1" applyProtection="1">
      <alignment horizontal="justify" vertical="center" wrapText="1"/>
      <protection locked="0" hidden="1"/>
    </xf>
    <xf numFmtId="0" fontId="18" fillId="15" borderId="114" xfId="0" applyFont="1" applyFill="1" applyBorder="1" applyAlignment="1" applyProtection="1">
      <alignment horizontal="left" vertical="center" wrapText="1"/>
      <protection hidden="1"/>
    </xf>
    <xf numFmtId="0" fontId="18" fillId="15" borderId="33"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justify" vertical="center" wrapText="1"/>
      <protection locked="0" hidden="1"/>
    </xf>
    <xf numFmtId="0" fontId="18" fillId="20" borderId="7" xfId="0" applyFont="1" applyFill="1" applyBorder="1" applyAlignment="1" applyProtection="1">
      <alignment horizontal="justify" vertical="center" wrapText="1"/>
      <protection locked="0" hidden="1"/>
    </xf>
    <xf numFmtId="0" fontId="18" fillId="20" borderId="112" xfId="0" applyFont="1" applyFill="1" applyBorder="1" applyAlignment="1" applyProtection="1">
      <alignment horizontal="justify" vertical="center" wrapText="1"/>
      <protection locked="0" hidden="1"/>
    </xf>
    <xf numFmtId="0" fontId="18" fillId="20" borderId="10" xfId="0" applyFont="1" applyFill="1" applyBorder="1" applyAlignment="1" applyProtection="1">
      <alignment horizontal="center" vertical="center" wrapText="1"/>
      <protection locked="0" hidden="1"/>
    </xf>
    <xf numFmtId="0" fontId="18" fillId="20" borderId="7" xfId="0" applyFont="1" applyFill="1" applyBorder="1" applyAlignment="1" applyProtection="1">
      <alignment horizontal="center" vertical="center" wrapText="1"/>
      <protection locked="0" hidden="1"/>
    </xf>
    <xf numFmtId="0" fontId="18" fillId="20" borderId="112" xfId="0" applyFont="1" applyFill="1" applyBorder="1" applyAlignment="1" applyProtection="1">
      <alignment horizontal="center" vertical="center" wrapText="1"/>
      <protection locked="0" hidden="1"/>
    </xf>
    <xf numFmtId="0" fontId="18" fillId="15" borderId="81" xfId="0" applyFont="1" applyFill="1" applyBorder="1" applyAlignment="1" applyProtection="1">
      <alignment horizontal="left" vertical="center" wrapText="1"/>
      <protection hidden="1"/>
    </xf>
    <xf numFmtId="0" fontId="18" fillId="15" borderId="0" xfId="0" applyFont="1" applyFill="1" applyBorder="1" applyAlignment="1" applyProtection="1">
      <alignment horizontal="left" vertical="center" wrapText="1"/>
      <protection hidden="1"/>
    </xf>
    <xf numFmtId="0" fontId="18" fillId="20" borderId="116" xfId="0" applyFont="1" applyFill="1" applyBorder="1" applyAlignment="1" applyProtection="1">
      <alignment horizontal="center" vertical="center" wrapText="1"/>
      <protection locked="0" hidden="1"/>
    </xf>
    <xf numFmtId="0" fontId="18" fillId="20" borderId="19" xfId="0" applyFont="1" applyFill="1" applyBorder="1" applyAlignment="1" applyProtection="1">
      <alignment horizontal="center" vertical="center" wrapText="1"/>
      <protection locked="0" hidden="1"/>
    </xf>
    <xf numFmtId="0" fontId="18" fillId="20" borderId="78" xfId="0" applyFont="1" applyFill="1" applyBorder="1" applyAlignment="1" applyProtection="1">
      <alignment horizontal="center" vertical="center" wrapText="1"/>
      <protection locked="0" hidden="1"/>
    </xf>
    <xf numFmtId="0" fontId="18" fillId="20" borderId="117" xfId="0" applyFont="1" applyFill="1" applyBorder="1" applyAlignment="1" applyProtection="1">
      <alignment horizontal="left" vertical="center" wrapText="1"/>
      <protection locked="0" hidden="1"/>
    </xf>
    <xf numFmtId="0" fontId="18" fillId="20" borderId="108" xfId="0" applyFont="1" applyFill="1" applyBorder="1" applyAlignment="1" applyProtection="1">
      <alignment horizontal="left" vertical="center" wrapText="1"/>
      <protection locked="0" hidden="1"/>
    </xf>
    <xf numFmtId="0" fontId="18" fillId="20" borderId="109" xfId="0" applyFont="1" applyFill="1" applyBorder="1" applyAlignment="1" applyProtection="1">
      <alignment horizontal="left" vertical="center" wrapText="1"/>
      <protection locked="0" hidden="1"/>
    </xf>
    <xf numFmtId="0" fontId="18" fillId="20" borderId="10" xfId="0" applyFont="1" applyFill="1" applyBorder="1" applyAlignment="1" applyProtection="1">
      <alignment horizontal="left" vertical="center" wrapText="1"/>
      <protection locked="0" hidden="1"/>
    </xf>
    <xf numFmtId="0" fontId="18" fillId="20" borderId="7" xfId="0" applyFont="1" applyFill="1" applyBorder="1" applyAlignment="1" applyProtection="1">
      <alignment horizontal="left" vertical="center" wrapText="1"/>
      <protection locked="0" hidden="1"/>
    </xf>
    <xf numFmtId="0" fontId="18" fillId="20" borderId="112" xfId="0" applyFont="1" applyFill="1" applyBorder="1" applyAlignment="1" applyProtection="1">
      <alignment horizontal="left" vertical="center" wrapText="1"/>
      <protection locked="0" hidden="1"/>
    </xf>
    <xf numFmtId="0" fontId="18" fillId="15" borderId="7" xfId="0" applyFont="1" applyFill="1" applyBorder="1" applyAlignment="1" applyProtection="1">
      <alignment horizontal="left" vertical="center" wrapText="1"/>
      <protection hidden="1"/>
    </xf>
    <xf numFmtId="0" fontId="18" fillId="15" borderId="112" xfId="0" applyFont="1" applyFill="1" applyBorder="1" applyAlignment="1" applyProtection="1">
      <alignment horizontal="left" vertical="center" wrapText="1"/>
      <protection hidden="1"/>
    </xf>
    <xf numFmtId="0" fontId="18" fillId="20" borderId="110" xfId="0" applyFont="1" applyFill="1" applyBorder="1" applyAlignment="1" applyProtection="1">
      <alignment horizontal="left" vertical="center" wrapText="1"/>
      <protection locked="0" hidden="1"/>
    </xf>
    <xf numFmtId="0" fontId="18" fillId="20" borderId="30" xfId="0" applyFont="1" applyFill="1" applyBorder="1" applyAlignment="1" applyProtection="1">
      <alignment horizontal="left" vertical="center" wrapText="1"/>
      <protection locked="0" hidden="1"/>
    </xf>
    <xf numFmtId="0" fontId="18" fillId="20" borderId="113" xfId="0" applyFont="1" applyFill="1" applyBorder="1" applyAlignment="1" applyProtection="1">
      <alignment horizontal="left" vertical="center" wrapText="1"/>
      <protection locked="0" hidden="1"/>
    </xf>
    <xf numFmtId="0" fontId="18" fillId="20" borderId="81" xfId="0" applyFont="1" applyFill="1" applyBorder="1" applyAlignment="1" applyProtection="1">
      <alignment horizontal="left" vertical="center" wrapText="1"/>
      <protection locked="0" hidden="1"/>
    </xf>
    <xf numFmtId="0" fontId="18" fillId="20" borderId="0" xfId="0" applyFont="1" applyFill="1" applyBorder="1" applyAlignment="1" applyProtection="1">
      <alignment horizontal="left" vertical="center" wrapText="1"/>
      <protection locked="0" hidden="1"/>
    </xf>
    <xf numFmtId="0" fontId="18" fillId="20" borderId="77" xfId="0" applyFont="1" applyFill="1" applyBorder="1" applyAlignment="1" applyProtection="1">
      <alignment horizontal="left" vertical="center" wrapText="1"/>
      <protection locked="0" hidden="1"/>
    </xf>
    <xf numFmtId="0" fontId="18" fillId="20" borderId="114" xfId="0" applyFont="1" applyFill="1" applyBorder="1" applyAlignment="1" applyProtection="1">
      <alignment horizontal="left" vertical="center" wrapText="1"/>
      <protection locked="0" hidden="1"/>
    </xf>
    <xf numFmtId="0" fontId="18" fillId="20" borderId="3" xfId="0" applyFont="1" applyFill="1" applyBorder="1" applyAlignment="1" applyProtection="1">
      <alignment horizontal="left" vertical="center" wrapText="1"/>
      <protection locked="0" hidden="1"/>
    </xf>
    <xf numFmtId="0" fontId="18" fillId="20" borderId="115" xfId="0" applyFont="1" applyFill="1" applyBorder="1" applyAlignment="1" applyProtection="1">
      <alignment horizontal="left" vertical="center" wrapText="1"/>
      <protection locked="0" hidden="1"/>
    </xf>
    <xf numFmtId="0" fontId="18" fillId="20" borderId="10" xfId="0" applyFont="1" applyFill="1" applyBorder="1" applyAlignment="1" applyProtection="1">
      <alignment horizontal="left" vertical="center"/>
      <protection locked="0" hidden="1"/>
    </xf>
    <xf numFmtId="0" fontId="18" fillId="20" borderId="7" xfId="0" applyFont="1" applyFill="1" applyBorder="1" applyAlignment="1" applyProtection="1">
      <alignment horizontal="left" vertical="center"/>
      <protection locked="0" hidden="1"/>
    </xf>
    <xf numFmtId="0" fontId="18" fillId="20" borderId="112" xfId="0" applyFont="1" applyFill="1" applyBorder="1" applyAlignment="1" applyProtection="1">
      <alignment horizontal="left" vertical="center"/>
      <protection locked="0" hidden="1"/>
    </xf>
    <xf numFmtId="0" fontId="18" fillId="15" borderId="20" xfId="0" applyFont="1" applyFill="1" applyBorder="1" applyAlignment="1" applyProtection="1">
      <alignment horizontal="left" vertical="center" wrapText="1"/>
      <protection hidden="1"/>
    </xf>
    <xf numFmtId="0" fontId="18" fillId="20" borderId="29" xfId="0" applyFont="1" applyFill="1" applyBorder="1" applyAlignment="1" applyProtection="1">
      <alignment horizontal="left" vertical="center"/>
      <protection locked="0" hidden="1"/>
    </xf>
    <xf numFmtId="0" fontId="18" fillId="20" borderId="30" xfId="0" applyFont="1" applyFill="1" applyBorder="1" applyAlignment="1" applyProtection="1">
      <alignment horizontal="left" vertical="center"/>
      <protection locked="0" hidden="1"/>
    </xf>
    <xf numFmtId="0" fontId="18" fillId="20" borderId="113" xfId="0" applyFont="1" applyFill="1" applyBorder="1" applyAlignment="1" applyProtection="1">
      <alignment horizontal="left" vertical="center"/>
      <protection locked="0" hidden="1"/>
    </xf>
    <xf numFmtId="0" fontId="18" fillId="20" borderId="32" xfId="0" applyFont="1" applyFill="1" applyBorder="1" applyAlignment="1" applyProtection="1">
      <alignment horizontal="left" vertical="center"/>
      <protection locked="0" hidden="1"/>
    </xf>
    <xf numFmtId="0" fontId="18" fillId="20" borderId="3" xfId="0" applyFont="1" applyFill="1" applyBorder="1" applyAlignment="1" applyProtection="1">
      <alignment horizontal="left" vertical="center"/>
      <protection locked="0" hidden="1"/>
    </xf>
    <xf numFmtId="0" fontId="18" fillId="20" borderId="115" xfId="0" applyFont="1" applyFill="1" applyBorder="1" applyAlignment="1" applyProtection="1">
      <alignment horizontal="left" vertical="center"/>
      <protection locked="0" hidden="1"/>
    </xf>
    <xf numFmtId="0" fontId="18" fillId="20" borderId="29" xfId="0" applyFont="1" applyFill="1" applyBorder="1" applyAlignment="1" applyProtection="1">
      <alignment horizontal="left" vertical="center" wrapText="1"/>
      <protection locked="0" hidden="1"/>
    </xf>
    <xf numFmtId="0" fontId="18" fillId="20" borderId="32" xfId="0" applyFont="1" applyFill="1" applyBorder="1" applyAlignment="1" applyProtection="1">
      <alignment horizontal="left" vertical="center" wrapText="1"/>
      <protection locked="0" hidden="1"/>
    </xf>
    <xf numFmtId="0" fontId="18" fillId="15" borderId="110" xfId="0" applyFont="1" applyFill="1" applyBorder="1" applyAlignment="1" applyProtection="1">
      <alignment horizontal="left" vertical="center" wrapText="1"/>
      <protection hidden="1"/>
    </xf>
    <xf numFmtId="0" fontId="18" fillId="15" borderId="31" xfId="0" applyFont="1" applyFill="1" applyBorder="1" applyAlignment="1" applyProtection="1">
      <alignment horizontal="left" vertical="center" wrapText="1"/>
      <protection hidden="1"/>
    </xf>
    <xf numFmtId="0" fontId="182" fillId="33" borderId="0" xfId="0" applyFont="1" applyFill="1" applyAlignment="1" applyProtection="1">
      <alignment horizontal="left" vertical="center" indent="1"/>
      <protection hidden="1"/>
    </xf>
    <xf numFmtId="0" fontId="189" fillId="0" borderId="0" xfId="0" applyFont="1" applyAlignment="1" applyProtection="1">
      <alignment horizontal="left" vertical="top" indent="1"/>
      <protection hidden="1"/>
    </xf>
    <xf numFmtId="0" fontId="184" fillId="0" borderId="0" xfId="0" applyFont="1" applyAlignment="1" applyProtection="1">
      <alignment horizontal="left" vertical="top" indent="1"/>
      <protection hidden="1"/>
    </xf>
    <xf numFmtId="0" fontId="18" fillId="15" borderId="107" xfId="0" applyFont="1" applyFill="1" applyBorder="1" applyAlignment="1" applyProtection="1">
      <alignment horizontal="left" vertical="center" wrapText="1"/>
      <protection hidden="1"/>
    </xf>
    <xf numFmtId="0" fontId="2" fillId="10" borderId="10" xfId="2" applyFont="1" applyFill="1" applyBorder="1" applyAlignment="1" applyProtection="1">
      <alignment horizontal="left" vertical="center"/>
      <protection hidden="1"/>
    </xf>
    <xf numFmtId="0" fontId="2" fillId="10" borderId="7" xfId="2" applyFont="1" applyFill="1" applyBorder="1" applyAlignment="1" applyProtection="1">
      <alignment horizontal="left" vertical="center"/>
      <protection hidden="1"/>
    </xf>
    <xf numFmtId="0" fontId="2" fillId="10" borderId="8" xfId="2" applyFont="1" applyFill="1" applyBorder="1" applyAlignment="1" applyProtection="1">
      <alignment horizontal="left" vertical="center"/>
      <protection hidden="1"/>
    </xf>
    <xf numFmtId="3" fontId="97" fillId="20" borderId="4" xfId="0" applyNumberFormat="1" applyFont="1" applyFill="1" applyBorder="1" applyAlignment="1" applyProtection="1">
      <alignment horizontal="center" vertical="center"/>
      <protection locked="0"/>
    </xf>
    <xf numFmtId="0" fontId="2" fillId="10" borderId="4" xfId="2" applyFont="1" applyFill="1" applyBorder="1" applyAlignment="1" applyProtection="1">
      <alignment horizontal="left" vertical="center" wrapText="1"/>
      <protection hidden="1"/>
    </xf>
    <xf numFmtId="0" fontId="2" fillId="10" borderId="10" xfId="2" applyFont="1" applyFill="1" applyBorder="1" applyAlignment="1" applyProtection="1">
      <alignment horizontal="left" vertical="center" wrapText="1"/>
      <protection hidden="1"/>
    </xf>
    <xf numFmtId="0" fontId="2" fillId="10" borderId="7" xfId="2" applyFont="1" applyFill="1" applyBorder="1" applyAlignment="1" applyProtection="1">
      <alignment horizontal="left" vertical="center" wrapText="1"/>
      <protection hidden="1"/>
    </xf>
    <xf numFmtId="0" fontId="2" fillId="10" borderId="8" xfId="2" applyFont="1" applyFill="1" applyBorder="1" applyAlignment="1" applyProtection="1">
      <alignment horizontal="left" vertical="center" wrapText="1"/>
      <protection hidden="1"/>
    </xf>
    <xf numFmtId="0" fontId="156" fillId="10" borderId="0" xfId="0" applyFont="1" applyFill="1" applyAlignment="1">
      <alignment horizontal="left" vertical="center" wrapText="1" indent="8"/>
    </xf>
    <xf numFmtId="0" fontId="23" fillId="14" borderId="40" xfId="2" applyFont="1" applyFill="1" applyBorder="1" applyAlignment="1" applyProtection="1">
      <alignment horizontal="center" vertical="center" wrapText="1"/>
      <protection hidden="1"/>
    </xf>
    <xf numFmtId="0" fontId="23" fillId="14" borderId="37" xfId="2" applyFont="1" applyFill="1" applyBorder="1" applyAlignment="1" applyProtection="1">
      <alignment horizontal="left" vertical="center" wrapText="1"/>
      <protection hidden="1"/>
    </xf>
    <xf numFmtId="0" fontId="29" fillId="33" borderId="0" xfId="2" applyFont="1" applyFill="1" applyBorder="1" applyAlignment="1" applyProtection="1">
      <alignment horizontal="center"/>
      <protection hidden="1"/>
    </xf>
    <xf numFmtId="0" fontId="23" fillId="14" borderId="0" xfId="2" applyFont="1" applyFill="1" applyBorder="1" applyAlignment="1" applyProtection="1">
      <alignment horizontal="left" vertical="center" wrapText="1"/>
      <protection hidden="1"/>
    </xf>
    <xf numFmtId="0" fontId="30" fillId="14" borderId="0" xfId="2" applyFont="1" applyFill="1" applyBorder="1" applyAlignment="1" applyProtection="1">
      <alignment horizontal="center" vertical="center" wrapText="1"/>
      <protection hidden="1"/>
    </xf>
    <xf numFmtId="0" fontId="141" fillId="33" borderId="0" xfId="0" applyFont="1" applyFill="1" applyBorder="1" applyAlignment="1" applyProtection="1">
      <alignment horizontal="left" vertical="center" indent="1"/>
      <protection hidden="1"/>
    </xf>
    <xf numFmtId="0" fontId="4" fillId="3" borderId="25" xfId="3" applyFont="1" applyFill="1" applyBorder="1" applyAlignment="1" applyProtection="1">
      <alignment horizontal="left" vertical="center"/>
      <protection hidden="1"/>
    </xf>
    <xf numFmtId="0" fontId="4" fillId="3" borderId="26" xfId="3" applyFont="1" applyFill="1" applyBorder="1" applyAlignment="1" applyProtection="1">
      <alignment horizontal="left" vertical="center"/>
      <protection hidden="1"/>
    </xf>
    <xf numFmtId="0" fontId="4" fillId="6" borderId="25" xfId="3" applyFont="1" applyFill="1" applyBorder="1" applyAlignment="1" applyProtection="1">
      <alignment horizontal="left" vertical="center" wrapText="1"/>
      <protection hidden="1"/>
    </xf>
    <xf numFmtId="0" fontId="4" fillId="6" borderId="26" xfId="3" applyFont="1" applyFill="1" applyBorder="1" applyAlignment="1" applyProtection="1">
      <alignment horizontal="left" vertical="center" wrapText="1"/>
      <protection hidden="1"/>
    </xf>
    <xf numFmtId="0" fontId="23" fillId="14" borderId="23" xfId="2" applyFont="1" applyFill="1" applyBorder="1" applyAlignment="1" applyProtection="1">
      <alignment horizontal="left" vertical="center" wrapText="1"/>
      <protection hidden="1"/>
    </xf>
    <xf numFmtId="0" fontId="4" fillId="32" borderId="67" xfId="0" applyFont="1" applyFill="1" applyBorder="1" applyAlignment="1">
      <alignment vertical="center"/>
    </xf>
    <xf numFmtId="0" fontId="4" fillId="32" borderId="123" xfId="0" applyFont="1" applyFill="1" applyBorder="1" applyAlignment="1">
      <alignment vertical="center"/>
    </xf>
    <xf numFmtId="0" fontId="38" fillId="32" borderId="123" xfId="0" applyFont="1" applyFill="1" applyBorder="1" applyAlignment="1" applyProtection="1">
      <alignment horizontal="center" vertical="center" wrapText="1"/>
      <protection hidden="1"/>
    </xf>
    <xf numFmtId="0" fontId="38" fillId="32" borderId="68" xfId="0" applyFont="1" applyFill="1" applyBorder="1" applyAlignment="1" applyProtection="1">
      <alignment horizontal="center" vertical="center" wrapText="1"/>
      <protection hidden="1"/>
    </xf>
    <xf numFmtId="0" fontId="30" fillId="14" borderId="37" xfId="2" applyFont="1" applyFill="1" applyBorder="1" applyAlignment="1" applyProtection="1">
      <alignment horizontal="center" vertical="center" wrapText="1"/>
      <protection hidden="1"/>
    </xf>
    <xf numFmtId="0" fontId="30" fillId="14" borderId="23" xfId="2" applyFont="1" applyFill="1" applyBorder="1" applyAlignment="1" applyProtection="1">
      <alignment horizontal="center" vertical="center" wrapText="1"/>
      <protection hidden="1"/>
    </xf>
    <xf numFmtId="0" fontId="23" fillId="14" borderId="38" xfId="2" applyFont="1" applyFill="1" applyBorder="1" applyAlignment="1" applyProtection="1">
      <alignment horizontal="center" vertical="center" wrapText="1"/>
      <protection hidden="1"/>
    </xf>
    <xf numFmtId="0" fontId="98" fillId="33" borderId="4" xfId="2" applyFont="1" applyFill="1" applyBorder="1" applyAlignment="1" applyProtection="1">
      <alignment horizontal="center" vertical="center" wrapText="1"/>
      <protection hidden="1"/>
    </xf>
    <xf numFmtId="0" fontId="98" fillId="0" borderId="4" xfId="0" applyFont="1" applyBorder="1" applyAlignment="1" applyProtection="1">
      <alignment horizontal="center" vertical="center"/>
      <protection hidden="1"/>
    </xf>
    <xf numFmtId="0" fontId="21" fillId="4" borderId="29" xfId="2" applyFont="1" applyFill="1" applyBorder="1" applyAlignment="1" applyProtection="1">
      <alignment horizontal="center" vertical="center" wrapText="1"/>
      <protection hidden="1"/>
    </xf>
    <xf numFmtId="0" fontId="21" fillId="4" borderId="30" xfId="2" applyFont="1" applyFill="1" applyBorder="1" applyAlignment="1" applyProtection="1">
      <alignment horizontal="center" vertical="center" wrapText="1"/>
      <protection hidden="1"/>
    </xf>
    <xf numFmtId="0" fontId="21" fillId="4" borderId="35" xfId="2" applyFont="1" applyFill="1" applyBorder="1" applyAlignment="1" applyProtection="1">
      <alignment horizontal="center" vertical="center" wrapText="1"/>
      <protection hidden="1"/>
    </xf>
    <xf numFmtId="0" fontId="21" fillId="4" borderId="0" xfId="2" applyFont="1" applyFill="1" applyBorder="1" applyAlignment="1" applyProtection="1">
      <alignment horizontal="center" vertical="center" wrapText="1"/>
      <protection hidden="1"/>
    </xf>
    <xf numFmtId="0" fontId="23" fillId="18" borderId="125" xfId="2" applyFont="1" applyFill="1" applyBorder="1" applyAlignment="1" applyProtection="1">
      <alignment horizontal="left" vertical="center" wrapText="1"/>
      <protection hidden="1"/>
    </xf>
    <xf numFmtId="0" fontId="27" fillId="18" borderId="125" xfId="2" applyFont="1" applyFill="1" applyBorder="1" applyAlignment="1" applyProtection="1">
      <alignment horizontal="center" vertical="center" wrapText="1"/>
      <protection hidden="1"/>
    </xf>
    <xf numFmtId="0" fontId="27" fillId="18" borderId="126" xfId="2" applyFont="1" applyFill="1" applyBorder="1" applyAlignment="1" applyProtection="1">
      <alignment horizontal="center" vertical="center" wrapText="1"/>
      <protection hidden="1"/>
    </xf>
    <xf numFmtId="0" fontId="23" fillId="18" borderId="0" xfId="2" applyFont="1" applyFill="1" applyBorder="1" applyAlignment="1" applyProtection="1">
      <alignment horizontal="left" vertical="center" wrapText="1"/>
      <protection hidden="1"/>
    </xf>
    <xf numFmtId="10" fontId="27" fillId="18" borderId="0" xfId="2" applyNumberFormat="1" applyFont="1" applyFill="1" applyBorder="1" applyAlignment="1" applyProtection="1">
      <alignment horizontal="center" vertical="center" wrapText="1"/>
      <protection hidden="1"/>
    </xf>
    <xf numFmtId="0" fontId="27" fillId="18" borderId="128" xfId="2" applyFont="1" applyFill="1" applyBorder="1" applyAlignment="1" applyProtection="1">
      <alignment horizontal="center" vertical="center" wrapText="1"/>
      <protection hidden="1"/>
    </xf>
    <xf numFmtId="0" fontId="27" fillId="18" borderId="130" xfId="2" applyFont="1" applyFill="1" applyBorder="1" applyAlignment="1" applyProtection="1">
      <alignment horizontal="center" vertical="center" wrapText="1"/>
      <protection hidden="1"/>
    </xf>
    <xf numFmtId="0" fontId="27" fillId="18" borderId="131" xfId="2" applyFont="1" applyFill="1" applyBorder="1" applyAlignment="1" applyProtection="1">
      <alignment horizontal="center" vertical="center" wrapText="1"/>
      <protection hidden="1"/>
    </xf>
    <xf numFmtId="0" fontId="23" fillId="18" borderId="130" xfId="2" applyFont="1" applyFill="1" applyBorder="1" applyAlignment="1" applyProtection="1">
      <alignment horizontal="left" vertical="center" wrapText="1"/>
      <protection hidden="1"/>
    </xf>
    <xf numFmtId="0" fontId="4" fillId="21" borderId="36" xfId="3" applyFont="1" applyFill="1" applyBorder="1" applyAlignment="1" applyProtection="1">
      <alignment horizontal="left" vertical="center"/>
      <protection hidden="1"/>
    </xf>
    <xf numFmtId="0" fontId="4" fillId="21" borderId="37" xfId="3" applyFont="1" applyFill="1" applyBorder="1" applyAlignment="1" applyProtection="1">
      <alignment horizontal="left" vertical="center"/>
      <protection hidden="1"/>
    </xf>
    <xf numFmtId="0" fontId="4" fillId="21" borderId="22" xfId="3" applyFont="1" applyFill="1" applyBorder="1" applyAlignment="1" applyProtection="1">
      <alignment horizontal="left" vertical="center"/>
      <protection hidden="1"/>
    </xf>
    <xf numFmtId="0" fontId="4" fillId="21" borderId="23" xfId="3" applyFont="1" applyFill="1" applyBorder="1" applyAlignment="1" applyProtection="1">
      <alignment horizontal="left" vertical="center"/>
      <protection hidden="1"/>
    </xf>
    <xf numFmtId="0" fontId="28" fillId="21" borderId="37" xfId="0" applyFont="1" applyFill="1" applyBorder="1" applyAlignment="1" applyProtection="1">
      <alignment horizontal="center" vertical="center" wrapText="1"/>
      <protection hidden="1"/>
    </xf>
    <xf numFmtId="0" fontId="28" fillId="21" borderId="23" xfId="0" applyFont="1" applyFill="1" applyBorder="1" applyAlignment="1" applyProtection="1">
      <alignment horizontal="center" vertical="center" wrapText="1"/>
      <protection hidden="1"/>
    </xf>
    <xf numFmtId="0" fontId="28" fillId="21" borderId="38" xfId="0" applyFont="1" applyFill="1" applyBorder="1" applyAlignment="1" applyProtection="1">
      <alignment horizontal="center" vertical="center" wrapText="1"/>
      <protection hidden="1"/>
    </xf>
    <xf numFmtId="0" fontId="28" fillId="21" borderId="24" xfId="0" applyFont="1" applyFill="1" applyBorder="1" applyAlignment="1" applyProtection="1">
      <alignment horizontal="center" vertical="center" wrapText="1"/>
      <protection hidden="1"/>
    </xf>
    <xf numFmtId="0" fontId="21" fillId="4" borderId="123" xfId="2" applyFont="1" applyFill="1" applyBorder="1" applyAlignment="1" applyProtection="1">
      <alignment horizontal="center" vertical="center" wrapText="1"/>
      <protection hidden="1"/>
    </xf>
    <xf numFmtId="0" fontId="21" fillId="4" borderId="68" xfId="2" applyFont="1" applyFill="1" applyBorder="1" applyAlignment="1" applyProtection="1">
      <alignment horizontal="center" vertical="center" wrapText="1"/>
      <protection hidden="1"/>
    </xf>
    <xf numFmtId="0" fontId="23" fillId="14" borderId="36" xfId="2" applyFont="1" applyFill="1" applyBorder="1" applyAlignment="1" applyProtection="1">
      <alignment horizontal="left" vertical="center" wrapText="1"/>
      <protection hidden="1"/>
    </xf>
    <xf numFmtId="0" fontId="23" fillId="14" borderId="39" xfId="2" applyFont="1" applyFill="1" applyBorder="1" applyAlignment="1" applyProtection="1">
      <alignment horizontal="left" vertical="center" wrapText="1"/>
      <protection hidden="1"/>
    </xf>
    <xf numFmtId="0" fontId="4" fillId="7" borderId="25" xfId="3" applyFont="1" applyFill="1" applyBorder="1" applyAlignment="1" applyProtection="1">
      <alignment horizontal="left" vertical="center" wrapText="1"/>
      <protection hidden="1"/>
    </xf>
    <xf numFmtId="0" fontId="4" fillId="7" borderId="26" xfId="3" applyFont="1" applyFill="1" applyBorder="1" applyAlignment="1" applyProtection="1">
      <alignment horizontal="left" vertical="center" wrapText="1"/>
      <protection hidden="1"/>
    </xf>
    <xf numFmtId="0" fontId="4" fillId="13" borderId="25" xfId="3" applyFont="1" applyFill="1" applyBorder="1" applyAlignment="1" applyProtection="1">
      <alignment horizontal="left" vertical="center"/>
      <protection hidden="1"/>
    </xf>
    <xf numFmtId="0" fontId="4" fillId="13" borderId="26" xfId="3" applyFont="1" applyFill="1" applyBorder="1" applyAlignment="1" applyProtection="1">
      <alignment horizontal="left" vertical="center"/>
      <protection hidden="1"/>
    </xf>
    <xf numFmtId="0" fontId="4" fillId="29" borderId="25" xfId="3" applyFont="1" applyFill="1" applyBorder="1" applyAlignment="1" applyProtection="1">
      <alignment horizontal="left" vertical="center"/>
      <protection hidden="1"/>
    </xf>
    <xf numFmtId="0" fontId="4" fillId="29" borderId="26" xfId="3" applyFont="1" applyFill="1" applyBorder="1" applyAlignment="1" applyProtection="1">
      <alignment horizontal="left" vertical="center"/>
      <protection hidden="1"/>
    </xf>
    <xf numFmtId="0" fontId="27" fillId="18" borderId="0" xfId="2" applyFont="1" applyFill="1" applyBorder="1" applyAlignment="1" applyProtection="1">
      <alignment horizontal="center" vertical="center" wrapText="1"/>
      <protection hidden="1"/>
    </xf>
    <xf numFmtId="0" fontId="4" fillId="16" borderId="25" xfId="3" applyFont="1" applyFill="1" applyBorder="1" applyAlignment="1" applyProtection="1">
      <alignment horizontal="left" vertical="center"/>
      <protection hidden="1"/>
    </xf>
    <xf numFmtId="0" fontId="4" fillId="16" borderId="26" xfId="3" applyFont="1" applyFill="1" applyBorder="1" applyAlignment="1" applyProtection="1">
      <alignment horizontal="left" vertical="center"/>
      <protection hidden="1"/>
    </xf>
    <xf numFmtId="0" fontId="4" fillId="5" borderId="25" xfId="3" applyFont="1" applyFill="1" applyBorder="1" applyAlignment="1" applyProtection="1">
      <alignment horizontal="left" vertical="center"/>
      <protection hidden="1"/>
    </xf>
    <xf numFmtId="0" fontId="4" fillId="5" borderId="26" xfId="3" applyFont="1" applyFill="1" applyBorder="1" applyAlignment="1" applyProtection="1">
      <alignment horizontal="left" vertical="center"/>
      <protection hidden="1"/>
    </xf>
    <xf numFmtId="0" fontId="5" fillId="7" borderId="29" xfId="2" applyFont="1" applyFill="1" applyBorder="1" applyAlignment="1" applyProtection="1">
      <alignment horizontal="center" vertical="center" wrapText="1"/>
      <protection hidden="1"/>
    </xf>
    <xf numFmtId="0" fontId="5" fillId="7" borderId="30" xfId="2" applyFont="1" applyFill="1" applyBorder="1" applyAlignment="1" applyProtection="1">
      <alignment horizontal="center" vertical="center" wrapText="1"/>
      <protection hidden="1"/>
    </xf>
    <xf numFmtId="0" fontId="5" fillId="7" borderId="32" xfId="2" applyFont="1" applyFill="1" applyBorder="1" applyAlignment="1" applyProtection="1">
      <alignment horizontal="center" vertical="center" wrapText="1"/>
      <protection hidden="1"/>
    </xf>
    <xf numFmtId="0" fontId="5" fillId="7" borderId="3" xfId="2" applyFont="1" applyFill="1" applyBorder="1" applyAlignment="1" applyProtection="1">
      <alignment horizontal="center" vertical="center" wrapText="1"/>
      <protection hidden="1"/>
    </xf>
    <xf numFmtId="0" fontId="99" fillId="0" borderId="4" xfId="0" applyFont="1" applyBorder="1" applyAlignment="1" applyProtection="1">
      <alignment horizontal="center" vertical="center"/>
      <protection hidden="1"/>
    </xf>
    <xf numFmtId="0" fontId="58" fillId="10" borderId="0" xfId="0" applyFont="1" applyFill="1" applyAlignment="1">
      <alignment horizontal="left" wrapText="1" indent="1"/>
    </xf>
    <xf numFmtId="0" fontId="5" fillId="21" borderId="10" xfId="0" applyFont="1" applyFill="1" applyBorder="1" applyAlignment="1" applyProtection="1">
      <alignment horizontal="left" vertical="center" indent="1"/>
      <protection hidden="1"/>
    </xf>
    <xf numFmtId="0" fontId="5" fillId="21" borderId="8" xfId="0" applyFont="1" applyFill="1" applyBorder="1" applyAlignment="1" applyProtection="1">
      <alignment horizontal="left" vertical="center" indent="1"/>
      <protection hidden="1"/>
    </xf>
    <xf numFmtId="0" fontId="48" fillId="21" borderId="30" xfId="2" applyFont="1" applyFill="1" applyBorder="1" applyAlignment="1">
      <alignment horizontal="left" vertical="center"/>
    </xf>
    <xf numFmtId="0" fontId="48" fillId="21" borderId="0" xfId="2" applyFont="1" applyFill="1" applyBorder="1" applyAlignment="1">
      <alignment horizontal="left" vertical="center"/>
    </xf>
    <xf numFmtId="0" fontId="49" fillId="21" borderId="29" xfId="0" applyFont="1" applyFill="1" applyBorder="1" applyAlignment="1" applyProtection="1">
      <alignment horizontal="left" vertical="center" indent="1"/>
      <protection hidden="1"/>
    </xf>
    <xf numFmtId="0" fontId="49" fillId="21" borderId="31" xfId="0" applyFont="1" applyFill="1" applyBorder="1" applyAlignment="1" applyProtection="1">
      <alignment horizontal="left" vertical="center" indent="1"/>
      <protection hidden="1"/>
    </xf>
    <xf numFmtId="0" fontId="49" fillId="21" borderId="32" xfId="0" applyFont="1" applyFill="1" applyBorder="1" applyAlignment="1" applyProtection="1">
      <alignment horizontal="left" vertical="center" indent="1"/>
      <protection hidden="1"/>
    </xf>
    <xf numFmtId="0" fontId="49" fillId="21" borderId="33" xfId="0" applyFont="1" applyFill="1" applyBorder="1" applyAlignment="1" applyProtection="1">
      <alignment horizontal="left" vertical="center" indent="1"/>
      <protection hidden="1"/>
    </xf>
    <xf numFmtId="0" fontId="49" fillId="21" borderId="4" xfId="0" applyFont="1" applyFill="1" applyBorder="1" applyAlignment="1" applyProtection="1">
      <alignment horizontal="center" vertical="center" wrapText="1"/>
      <protection hidden="1"/>
    </xf>
    <xf numFmtId="0" fontId="5" fillId="21" borderId="0" xfId="2" applyFont="1" applyFill="1" applyBorder="1" applyAlignment="1" applyProtection="1">
      <alignment horizontal="left" vertical="top" wrapText="1"/>
      <protection hidden="1"/>
    </xf>
    <xf numFmtId="0" fontId="107" fillId="10" borderId="10" xfId="3" applyFont="1" applyFill="1" applyBorder="1" applyAlignment="1">
      <alignment horizontal="left" vertical="center" indent="1"/>
    </xf>
    <xf numFmtId="0" fontId="107" fillId="10" borderId="8" xfId="3" applyFont="1" applyFill="1" applyBorder="1" applyAlignment="1">
      <alignment horizontal="left" vertical="center" indent="1"/>
    </xf>
    <xf numFmtId="0" fontId="9" fillId="21" borderId="0" xfId="0" applyFont="1" applyFill="1" applyBorder="1" applyAlignment="1" applyProtection="1">
      <alignment horizontal="left" vertical="center" indent="1"/>
      <protection hidden="1"/>
    </xf>
    <xf numFmtId="167" fontId="14" fillId="20" borderId="10" xfId="0" applyNumberFormat="1" applyFont="1" applyFill="1" applyBorder="1" applyAlignment="1" applyProtection="1">
      <alignment horizontal="center" vertical="center" wrapText="1"/>
      <protection locked="0"/>
    </xf>
    <xf numFmtId="167" fontId="14" fillId="20" borderId="8" xfId="0" applyNumberFormat="1"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indent="1"/>
      <protection hidden="1"/>
    </xf>
    <xf numFmtId="0" fontId="16" fillId="21" borderId="4" xfId="0" applyFont="1" applyFill="1" applyBorder="1" applyAlignment="1" applyProtection="1">
      <alignment horizontal="center" vertical="center"/>
      <protection hidden="1"/>
    </xf>
    <xf numFmtId="0" fontId="11" fillId="21" borderId="10" xfId="0" applyFont="1" applyFill="1" applyBorder="1" applyAlignment="1" applyProtection="1">
      <alignment horizontal="left" vertical="center" wrapText="1" indent="1"/>
      <protection hidden="1"/>
    </xf>
    <xf numFmtId="0" fontId="11" fillId="21" borderId="7" xfId="0" applyFont="1" applyFill="1" applyBorder="1" applyAlignment="1" applyProtection="1">
      <alignment horizontal="left" vertical="center" wrapText="1" indent="1"/>
      <protection hidden="1"/>
    </xf>
    <xf numFmtId="0" fontId="11" fillId="21" borderId="8" xfId="0" applyFont="1" applyFill="1" applyBorder="1" applyAlignment="1" applyProtection="1">
      <alignment horizontal="left" vertical="center" wrapText="1" indent="1"/>
      <protection hidden="1"/>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2" fillId="10" borderId="39" xfId="2" applyFont="1" applyFill="1" applyBorder="1" applyAlignment="1" applyProtection="1">
      <alignment horizontal="left" vertical="center" wrapText="1" indent="9"/>
      <protection hidden="1"/>
    </xf>
    <xf numFmtId="0" fontId="2" fillId="10" borderId="0" xfId="2" applyFont="1" applyFill="1" applyBorder="1" applyAlignment="1" applyProtection="1">
      <alignment horizontal="left" vertical="center" wrapText="1" indent="9"/>
      <protection hidden="1"/>
    </xf>
    <xf numFmtId="0" fontId="2" fillId="10" borderId="40" xfId="2" applyFont="1" applyFill="1" applyBorder="1" applyAlignment="1" applyProtection="1">
      <alignment horizontal="left" vertical="center" wrapText="1" indent="9"/>
      <protection hidden="1"/>
    </xf>
    <xf numFmtId="0" fontId="2" fillId="10" borderId="22" xfId="2" applyFont="1" applyFill="1" applyBorder="1" applyAlignment="1" applyProtection="1">
      <alignment horizontal="left" vertical="center" indent="9"/>
      <protection hidden="1"/>
    </xf>
    <xf numFmtId="0" fontId="2" fillId="10" borderId="23" xfId="2" applyFont="1" applyFill="1" applyBorder="1" applyAlignment="1" applyProtection="1">
      <alignment horizontal="left" vertical="center" indent="9"/>
      <protection hidden="1"/>
    </xf>
    <xf numFmtId="0" fontId="2" fillId="10" borderId="24" xfId="2" applyFont="1" applyFill="1" applyBorder="1" applyAlignment="1" applyProtection="1">
      <alignment horizontal="left" vertical="center" indent="9"/>
      <protection hidden="1"/>
    </xf>
    <xf numFmtId="0" fontId="2" fillId="10" borderId="39" xfId="2" applyFont="1" applyFill="1" applyBorder="1" applyAlignment="1" applyProtection="1">
      <alignment horizontal="left" vertical="center" wrapText="1" indent="7"/>
      <protection hidden="1"/>
    </xf>
    <xf numFmtId="0" fontId="2" fillId="10" borderId="0" xfId="2" applyFont="1" applyFill="1" applyBorder="1" applyAlignment="1" applyProtection="1">
      <alignment horizontal="left" vertical="center" wrapText="1" indent="7"/>
      <protection hidden="1"/>
    </xf>
    <xf numFmtId="0" fontId="2" fillId="10" borderId="40" xfId="2" applyFont="1" applyFill="1" applyBorder="1" applyAlignment="1" applyProtection="1">
      <alignment horizontal="left" vertical="center" wrapText="1" indent="7"/>
      <protection hidden="1"/>
    </xf>
    <xf numFmtId="0" fontId="2" fillId="10" borderId="22" xfId="2" applyFont="1" applyFill="1" applyBorder="1" applyAlignment="1" applyProtection="1">
      <alignment horizontal="left" vertical="center" wrapText="1" indent="7"/>
      <protection hidden="1"/>
    </xf>
    <xf numFmtId="0" fontId="2" fillId="10" borderId="23" xfId="2" applyFont="1" applyFill="1" applyBorder="1" applyAlignment="1" applyProtection="1">
      <alignment horizontal="left" vertical="center" wrapText="1" indent="7"/>
      <protection hidden="1"/>
    </xf>
    <xf numFmtId="0" fontId="2" fillId="10" borderId="24" xfId="2" applyFont="1" applyFill="1" applyBorder="1" applyAlignment="1" applyProtection="1">
      <alignment horizontal="left" vertical="center" wrapText="1" indent="7"/>
      <protection hidden="1"/>
    </xf>
    <xf numFmtId="167" fontId="14" fillId="4" borderId="4" xfId="0" applyNumberFormat="1" applyFont="1" applyFill="1" applyBorder="1" applyAlignment="1" applyProtection="1">
      <alignment horizontal="center" vertical="center" wrapText="1"/>
      <protection hidden="1"/>
    </xf>
    <xf numFmtId="0" fontId="2" fillId="4" borderId="10" xfId="0" applyFont="1" applyFill="1" applyBorder="1" applyAlignment="1" applyProtection="1">
      <alignment horizontal="left" vertical="center" wrapText="1" indent="1"/>
      <protection hidden="1"/>
    </xf>
    <xf numFmtId="0" fontId="2" fillId="4" borderId="7" xfId="0" applyFont="1" applyFill="1" applyBorder="1" applyAlignment="1" applyProtection="1">
      <alignment horizontal="left" vertical="center" wrapText="1" indent="1"/>
      <protection hidden="1"/>
    </xf>
    <xf numFmtId="0" fontId="2" fillId="4" borderId="8" xfId="0" applyFont="1" applyFill="1" applyBorder="1" applyAlignment="1" applyProtection="1">
      <alignment horizontal="left" vertical="center" wrapText="1" indent="1"/>
      <protection hidden="1"/>
    </xf>
    <xf numFmtId="0" fontId="11" fillId="21" borderId="4" xfId="2" applyFont="1" applyFill="1" applyBorder="1" applyAlignment="1" applyProtection="1">
      <alignment horizontal="left" vertical="center" indent="1"/>
      <protection hidden="1"/>
    </xf>
    <xf numFmtId="0" fontId="14" fillId="20" borderId="4"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vertical="center" indent="5"/>
      <protection hidden="1"/>
    </xf>
    <xf numFmtId="0" fontId="2" fillId="10" borderId="37" xfId="2" applyFont="1" applyFill="1" applyBorder="1" applyAlignment="1" applyProtection="1">
      <alignment horizontal="left" vertical="center" indent="5"/>
      <protection hidden="1"/>
    </xf>
    <xf numFmtId="0" fontId="2" fillId="10" borderId="38" xfId="2" applyFont="1" applyFill="1" applyBorder="1" applyAlignment="1" applyProtection="1">
      <alignment horizontal="left" vertical="center" indent="5"/>
      <protection hidden="1"/>
    </xf>
    <xf numFmtId="0" fontId="2" fillId="10" borderId="39" xfId="2" applyFont="1" applyFill="1" applyBorder="1" applyAlignment="1" applyProtection="1">
      <alignment horizontal="left" vertical="center" indent="5"/>
      <protection hidden="1"/>
    </xf>
    <xf numFmtId="0" fontId="2" fillId="10" borderId="0" xfId="2" applyFont="1" applyFill="1" applyBorder="1" applyAlignment="1" applyProtection="1">
      <alignment horizontal="left" vertical="center" indent="5"/>
      <protection hidden="1"/>
    </xf>
    <xf numFmtId="0" fontId="2" fillId="10" borderId="40" xfId="2" applyFont="1" applyFill="1" applyBorder="1" applyAlignment="1" applyProtection="1">
      <alignment horizontal="left" vertical="center" indent="5"/>
      <protection hidden="1"/>
    </xf>
    <xf numFmtId="0" fontId="2" fillId="10" borderId="22" xfId="2" applyFont="1" applyFill="1" applyBorder="1" applyAlignment="1" applyProtection="1">
      <alignment horizontal="left" vertical="center" indent="5"/>
      <protection hidden="1"/>
    </xf>
    <xf numFmtId="0" fontId="2" fillId="10" borderId="23" xfId="2" applyFont="1" applyFill="1" applyBorder="1" applyAlignment="1" applyProtection="1">
      <alignment horizontal="left" vertical="center" indent="5"/>
      <protection hidden="1"/>
    </xf>
    <xf numFmtId="0" fontId="2" fillId="10" borderId="24" xfId="2" applyFont="1" applyFill="1" applyBorder="1" applyAlignment="1" applyProtection="1">
      <alignment horizontal="left" vertical="center" indent="5"/>
      <protection hidden="1"/>
    </xf>
    <xf numFmtId="167" fontId="14" fillId="20" borderId="4" xfId="0" applyNumberFormat="1" applyFont="1" applyFill="1" applyBorder="1" applyAlignment="1" applyProtection="1">
      <alignment horizontal="left" vertical="center" wrapText="1"/>
      <protection locked="0"/>
    </xf>
    <xf numFmtId="0" fontId="2" fillId="10" borderId="25" xfId="2" applyFill="1" applyBorder="1" applyAlignment="1" applyProtection="1">
      <alignment horizontal="left" vertical="center" wrapText="1" indent="6"/>
      <protection hidden="1"/>
    </xf>
    <xf numFmtId="0" fontId="2" fillId="10" borderId="26" xfId="2" applyFill="1" applyBorder="1" applyAlignment="1" applyProtection="1">
      <alignment horizontal="left" vertical="center" wrapText="1" indent="6"/>
      <protection hidden="1"/>
    </xf>
    <xf numFmtId="0" fontId="2" fillId="10" borderId="27" xfId="2" applyFill="1" applyBorder="1" applyAlignment="1" applyProtection="1">
      <alignment horizontal="left" vertical="center" wrapText="1" indent="6"/>
      <protection hidden="1"/>
    </xf>
    <xf numFmtId="0" fontId="14" fillId="20" borderId="7"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indent="7"/>
      <protection hidden="1"/>
    </xf>
    <xf numFmtId="0" fontId="2" fillId="10" borderId="37" xfId="2" applyFont="1" applyFill="1" applyBorder="1" applyAlignment="1" applyProtection="1">
      <alignment horizontal="left" indent="7"/>
      <protection hidden="1"/>
    </xf>
    <xf numFmtId="0" fontId="2" fillId="10" borderId="38" xfId="2" applyFont="1" applyFill="1" applyBorder="1" applyAlignment="1" applyProtection="1">
      <alignment horizontal="left" indent="7"/>
      <protection hidden="1"/>
    </xf>
    <xf numFmtId="0" fontId="13" fillId="21" borderId="7" xfId="0" applyFont="1" applyFill="1" applyBorder="1" applyAlignment="1" applyProtection="1">
      <alignment horizontal="center" vertical="center" wrapText="1"/>
      <protection hidden="1"/>
    </xf>
    <xf numFmtId="0" fontId="21" fillId="10" borderId="36" xfId="2" applyFont="1" applyFill="1" applyBorder="1" applyAlignment="1" applyProtection="1">
      <alignment horizontal="left" indent="8"/>
      <protection hidden="1"/>
    </xf>
    <xf numFmtId="0" fontId="21" fillId="10" borderId="37" xfId="2" applyFont="1" applyFill="1" applyBorder="1" applyAlignment="1" applyProtection="1">
      <alignment horizontal="left" indent="8"/>
      <protection hidden="1"/>
    </xf>
    <xf numFmtId="0" fontId="21" fillId="10" borderId="38" xfId="2" applyFont="1" applyFill="1" applyBorder="1" applyAlignment="1" applyProtection="1">
      <alignment horizontal="left" indent="8"/>
      <protection hidden="1"/>
    </xf>
    <xf numFmtId="0" fontId="2" fillId="10" borderId="39" xfId="2" applyFont="1" applyFill="1" applyBorder="1" applyAlignment="1" applyProtection="1">
      <alignment horizontal="left" vertical="center" indent="9"/>
      <protection hidden="1"/>
    </xf>
    <xf numFmtId="0" fontId="2" fillId="10" borderId="0" xfId="2" applyFont="1" applyFill="1" applyBorder="1" applyAlignment="1" applyProtection="1">
      <alignment horizontal="left" vertical="center" indent="9"/>
      <protection hidden="1"/>
    </xf>
    <xf numFmtId="0" fontId="2" fillId="10" borderId="40" xfId="2" applyFont="1" applyFill="1" applyBorder="1" applyAlignment="1" applyProtection="1">
      <alignment horizontal="left" vertical="center" indent="9"/>
      <protection hidden="1"/>
    </xf>
    <xf numFmtId="0" fontId="2" fillId="10" borderId="39" xfId="2" applyFont="1" applyFill="1" applyBorder="1" applyAlignment="1" applyProtection="1">
      <alignment horizontal="left" indent="8"/>
      <protection hidden="1"/>
    </xf>
    <xf numFmtId="0" fontId="2" fillId="10" borderId="0" xfId="2" applyFont="1" applyFill="1" applyBorder="1" applyAlignment="1" applyProtection="1">
      <alignment horizontal="left" indent="8"/>
      <protection hidden="1"/>
    </xf>
    <xf numFmtId="0" fontId="2" fillId="10" borderId="40" xfId="2" applyFont="1" applyFill="1" applyBorder="1" applyAlignment="1" applyProtection="1">
      <alignment horizontal="left" indent="8"/>
      <protection hidden="1"/>
    </xf>
    <xf numFmtId="0" fontId="10" fillId="21" borderId="0" xfId="0" applyFont="1" applyFill="1" applyBorder="1" applyAlignment="1" applyProtection="1">
      <alignment horizontal="left" vertical="center" indent="1"/>
      <protection hidden="1"/>
    </xf>
    <xf numFmtId="0" fontId="38" fillId="21" borderId="0" xfId="0" applyFont="1" applyFill="1" applyBorder="1" applyAlignment="1" applyProtection="1">
      <alignment horizontal="left" vertical="center" indent="1"/>
      <protection hidden="1"/>
    </xf>
    <xf numFmtId="0" fontId="16" fillId="21" borderId="10" xfId="0" applyFont="1" applyFill="1" applyBorder="1" applyAlignment="1" applyProtection="1">
      <alignment horizontal="center" vertical="center"/>
      <protection hidden="1"/>
    </xf>
    <xf numFmtId="0" fontId="16" fillId="21" borderId="7" xfId="0" applyFont="1" applyFill="1" applyBorder="1" applyAlignment="1" applyProtection="1">
      <alignment horizontal="center" vertical="center"/>
      <protection hidden="1"/>
    </xf>
    <xf numFmtId="0" fontId="16" fillId="21" borderId="8"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wrapText="1"/>
      <protection hidden="1"/>
    </xf>
    <xf numFmtId="0" fontId="14" fillId="20" borderId="35" xfId="0" applyFont="1" applyFill="1" applyBorder="1" applyAlignment="1" applyProtection="1">
      <alignment horizontal="center" vertical="center" wrapText="1"/>
      <protection locked="0"/>
    </xf>
    <xf numFmtId="0" fontId="14" fillId="20" borderId="0"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4" fillId="20" borderId="30" xfId="0"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33" xfId="0" applyFont="1" applyFill="1" applyBorder="1" applyAlignment="1" applyProtection="1">
      <alignment horizontal="center" vertical="center" wrapText="1"/>
      <protection locked="0"/>
    </xf>
    <xf numFmtId="0" fontId="7" fillId="2" borderId="35" xfId="2" applyFont="1" applyFill="1" applyBorder="1" applyAlignment="1" applyProtection="1">
      <alignment horizontal="center" vertical="center" wrapText="1"/>
      <protection hidden="1"/>
    </xf>
    <xf numFmtId="0" fontId="7" fillId="2" borderId="0" xfId="2" applyFont="1" applyFill="1" applyBorder="1" applyAlignment="1" applyProtection="1">
      <alignment horizontal="center" vertical="center" wrapText="1"/>
      <protection hidden="1"/>
    </xf>
    <xf numFmtId="0" fontId="20" fillId="2" borderId="0" xfId="2" applyFont="1" applyFill="1" applyBorder="1" applyAlignment="1" applyProtection="1">
      <alignment horizontal="center" vertical="center"/>
      <protection hidden="1"/>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65" fillId="2" borderId="0" xfId="2" applyFont="1" applyFill="1" applyAlignment="1" applyProtection="1">
      <alignment horizontal="right" vertical="center" wrapText="1"/>
      <protection hidden="1"/>
    </xf>
    <xf numFmtId="0" fontId="65" fillId="2" borderId="23" xfId="2" applyFont="1" applyFill="1" applyBorder="1" applyAlignment="1" applyProtection="1">
      <alignment horizontal="right" vertical="center" wrapText="1"/>
      <protection hidden="1"/>
    </xf>
    <xf numFmtId="0" fontId="19" fillId="21" borderId="25" xfId="2" applyFont="1" applyFill="1" applyBorder="1" applyAlignment="1" applyProtection="1">
      <alignment horizontal="left" vertical="center" wrapText="1" indent="1"/>
      <protection hidden="1"/>
    </xf>
    <xf numFmtId="0" fontId="19" fillId="21" borderId="26" xfId="2" applyFont="1" applyFill="1" applyBorder="1" applyAlignment="1" applyProtection="1">
      <alignment horizontal="left" vertical="center" wrapText="1" indent="1"/>
      <protection hidden="1"/>
    </xf>
    <xf numFmtId="0" fontId="2" fillId="0" borderId="25" xfId="2" applyFont="1" applyFill="1" applyBorder="1" applyAlignment="1">
      <alignment horizontal="left" vertical="center" wrapText="1" indent="1"/>
    </xf>
    <xf numFmtId="0" fontId="2" fillId="0" borderId="26" xfId="2" applyFont="1" applyFill="1" applyBorder="1" applyAlignment="1">
      <alignment horizontal="left" vertical="center" wrapText="1" indent="1"/>
    </xf>
    <xf numFmtId="0" fontId="2" fillId="0" borderId="27" xfId="2" applyFont="1" applyFill="1" applyBorder="1" applyAlignment="1">
      <alignment horizontal="left" vertical="center" wrapText="1" indent="1"/>
    </xf>
    <xf numFmtId="0" fontId="21" fillId="0" borderId="42" xfId="2" applyFont="1" applyFill="1" applyBorder="1" applyAlignment="1">
      <alignment horizontal="left" vertical="center" wrapText="1" indent="1"/>
    </xf>
    <xf numFmtId="0" fontId="21" fillId="0" borderId="43" xfId="2" applyFont="1" applyFill="1" applyBorder="1" applyAlignment="1">
      <alignment horizontal="left" vertical="center" wrapText="1" indent="1"/>
    </xf>
    <xf numFmtId="0" fontId="21" fillId="0" borderId="44" xfId="2" applyFont="1" applyFill="1" applyBorder="1" applyAlignment="1">
      <alignment horizontal="left" vertical="center" wrapText="1" indent="1"/>
    </xf>
    <xf numFmtId="0" fontId="60" fillId="11" borderId="36" xfId="2" applyFont="1" applyFill="1" applyBorder="1" applyAlignment="1" applyProtection="1">
      <alignment horizontal="left" vertical="center" wrapText="1" indent="1"/>
      <protection hidden="1"/>
    </xf>
    <xf numFmtId="0" fontId="60" fillId="11" borderId="37" xfId="2" applyFont="1" applyFill="1" applyBorder="1" applyAlignment="1" applyProtection="1">
      <alignment horizontal="left" vertical="center" wrapText="1" indent="1"/>
      <protection hidden="1"/>
    </xf>
    <xf numFmtId="0" fontId="60" fillId="11" borderId="38" xfId="2" applyFont="1" applyFill="1" applyBorder="1" applyAlignment="1" applyProtection="1">
      <alignment horizontal="left" vertical="center" wrapText="1" indent="1"/>
      <protection hidden="1"/>
    </xf>
    <xf numFmtId="0" fontId="60" fillId="11" borderId="39" xfId="2" applyFont="1" applyFill="1" applyBorder="1" applyAlignment="1" applyProtection="1">
      <alignment horizontal="left" vertical="center" wrapText="1" indent="1"/>
      <protection hidden="1"/>
    </xf>
    <xf numFmtId="0" fontId="60" fillId="11" borderId="0" xfId="2" applyFont="1" applyFill="1" applyBorder="1" applyAlignment="1" applyProtection="1">
      <alignment horizontal="left" vertical="center" wrapText="1" indent="1"/>
      <protection hidden="1"/>
    </xf>
    <xf numFmtId="0" fontId="60" fillId="11" borderId="40" xfId="2" applyFont="1" applyFill="1" applyBorder="1" applyAlignment="1" applyProtection="1">
      <alignment horizontal="left" vertical="center" wrapText="1" indent="1"/>
      <protection hidden="1"/>
    </xf>
    <xf numFmtId="0" fontId="60" fillId="11" borderId="22" xfId="2" applyFont="1" applyFill="1" applyBorder="1" applyAlignment="1" applyProtection="1">
      <alignment horizontal="left" vertical="center" wrapText="1" indent="1"/>
      <protection hidden="1"/>
    </xf>
    <xf numFmtId="0" fontId="60" fillId="11" borderId="23" xfId="2" applyFont="1" applyFill="1" applyBorder="1" applyAlignment="1" applyProtection="1">
      <alignment horizontal="left" vertical="center" wrapText="1" indent="1"/>
      <protection hidden="1"/>
    </xf>
    <xf numFmtId="0" fontId="60" fillId="11" borderId="24" xfId="2" applyFont="1" applyFill="1" applyBorder="1" applyAlignment="1" applyProtection="1">
      <alignment horizontal="left" vertical="center" wrapText="1" indent="1"/>
      <protection hidden="1"/>
    </xf>
    <xf numFmtId="0" fontId="21" fillId="10" borderId="25" xfId="2" applyFont="1" applyFill="1" applyBorder="1" applyAlignment="1">
      <alignment horizontal="left" vertical="center" wrapText="1" indent="1"/>
    </xf>
    <xf numFmtId="0" fontId="2" fillId="10" borderId="26" xfId="2" applyFont="1" applyFill="1" applyBorder="1" applyAlignment="1">
      <alignment horizontal="left" vertical="center" wrapText="1" indent="1"/>
    </xf>
    <xf numFmtId="0" fontId="2" fillId="10" borderId="27" xfId="2" applyFont="1" applyFill="1" applyBorder="1" applyAlignment="1">
      <alignment horizontal="left" vertical="center" wrapText="1" indent="1"/>
    </xf>
    <xf numFmtId="0" fontId="2" fillId="2" borderId="0" xfId="2" applyFill="1" applyAlignment="1" applyProtection="1">
      <alignment horizontal="left"/>
      <protection hidden="1"/>
    </xf>
    <xf numFmtId="0" fontId="46" fillId="10" borderId="39" xfId="2" applyFont="1" applyFill="1" applyBorder="1" applyAlignment="1" applyProtection="1">
      <alignment horizontal="left" indent="6"/>
      <protection hidden="1"/>
    </xf>
    <xf numFmtId="0" fontId="46" fillId="10" borderId="0" xfId="2" applyFont="1" applyFill="1" applyBorder="1" applyAlignment="1" applyProtection="1">
      <alignment horizontal="left" indent="6"/>
      <protection hidden="1"/>
    </xf>
    <xf numFmtId="0" fontId="46" fillId="10" borderId="40" xfId="2" applyFont="1" applyFill="1" applyBorder="1" applyAlignment="1" applyProtection="1">
      <alignment horizontal="left" indent="6"/>
      <protection hidden="1"/>
    </xf>
    <xf numFmtId="0" fontId="46" fillId="10" borderId="22" xfId="2" applyFont="1" applyFill="1" applyBorder="1" applyAlignment="1" applyProtection="1">
      <alignment horizontal="left" indent="6"/>
      <protection hidden="1"/>
    </xf>
    <xf numFmtId="0" fontId="46" fillId="10" borderId="23" xfId="2" applyFont="1" applyFill="1" applyBorder="1" applyAlignment="1" applyProtection="1">
      <alignment horizontal="left" indent="6"/>
      <protection hidden="1"/>
    </xf>
    <xf numFmtId="0" fontId="46" fillId="10" borderId="24" xfId="2" applyFont="1" applyFill="1" applyBorder="1" applyAlignment="1" applyProtection="1">
      <alignment horizontal="left" indent="6"/>
      <protection hidden="1"/>
    </xf>
    <xf numFmtId="0" fontId="2" fillId="10" borderId="36" xfId="2" applyFont="1" applyFill="1" applyBorder="1" applyAlignment="1" applyProtection="1">
      <alignment horizontal="left" indent="5"/>
      <protection hidden="1"/>
    </xf>
    <xf numFmtId="0" fontId="2" fillId="10" borderId="37" xfId="2" applyFont="1" applyFill="1" applyBorder="1" applyAlignment="1" applyProtection="1">
      <alignment horizontal="left" indent="5"/>
      <protection hidden="1"/>
    </xf>
    <xf numFmtId="0" fontId="2" fillId="10" borderId="38" xfId="2" applyFont="1" applyFill="1" applyBorder="1" applyAlignment="1" applyProtection="1">
      <alignment horizontal="left" indent="5"/>
      <protection hidden="1"/>
    </xf>
    <xf numFmtId="0" fontId="2" fillId="10" borderId="39" xfId="2" applyFill="1" applyBorder="1" applyAlignment="1" applyProtection="1">
      <alignment horizontal="left" indent="7"/>
      <protection hidden="1"/>
    </xf>
    <xf numFmtId="0" fontId="2" fillId="10" borderId="0" xfId="2" applyFill="1" applyBorder="1" applyAlignment="1" applyProtection="1">
      <alignment horizontal="left" indent="7"/>
      <protection hidden="1"/>
    </xf>
    <xf numFmtId="0" fontId="2" fillId="10" borderId="40" xfId="2" applyFill="1" applyBorder="1" applyAlignment="1" applyProtection="1">
      <alignment horizontal="left" indent="7"/>
      <protection hidden="1"/>
    </xf>
    <xf numFmtId="0" fontId="2" fillId="10" borderId="22" xfId="2" applyFill="1" applyBorder="1" applyAlignment="1" applyProtection="1">
      <alignment horizontal="left" indent="8"/>
      <protection hidden="1"/>
    </xf>
    <xf numFmtId="0" fontId="2" fillId="10" borderId="23" xfId="2" applyFill="1" applyBorder="1" applyAlignment="1" applyProtection="1">
      <alignment horizontal="left" indent="8"/>
      <protection hidden="1"/>
    </xf>
    <xf numFmtId="0" fontId="2" fillId="10" borderId="24" xfId="2" applyFill="1" applyBorder="1" applyAlignment="1" applyProtection="1">
      <alignment horizontal="left" indent="8"/>
      <protection hidden="1"/>
    </xf>
    <xf numFmtId="0" fontId="2" fillId="10" borderId="36" xfId="2" applyFill="1" applyBorder="1" applyAlignment="1" applyProtection="1">
      <alignment horizontal="left" indent="7"/>
      <protection hidden="1"/>
    </xf>
    <xf numFmtId="0" fontId="2" fillId="10" borderId="37" xfId="2" applyFill="1" applyBorder="1" applyAlignment="1" applyProtection="1">
      <alignment horizontal="left" indent="7"/>
      <protection hidden="1"/>
    </xf>
    <xf numFmtId="0" fontId="2" fillId="10" borderId="38" xfId="2" applyFill="1" applyBorder="1" applyAlignment="1" applyProtection="1">
      <alignment horizontal="left" indent="7"/>
      <protection hidden="1"/>
    </xf>
    <xf numFmtId="0" fontId="2" fillId="10" borderId="36" xfId="2" applyFont="1" applyFill="1" applyBorder="1" applyAlignment="1" applyProtection="1">
      <alignment horizontal="left" vertical="center" wrapText="1" indent="7"/>
      <protection hidden="1"/>
    </xf>
    <xf numFmtId="0" fontId="2" fillId="10" borderId="37" xfId="2" applyFont="1" applyFill="1" applyBorder="1" applyAlignment="1" applyProtection="1">
      <alignment horizontal="left" vertical="center" wrapText="1" indent="7"/>
      <protection hidden="1"/>
    </xf>
    <xf numFmtId="0" fontId="2" fillId="10" borderId="38" xfId="2" applyFont="1" applyFill="1" applyBorder="1" applyAlignment="1" applyProtection="1">
      <alignment horizontal="left" vertical="center" wrapText="1" indent="7"/>
      <protection hidden="1"/>
    </xf>
    <xf numFmtId="0" fontId="11" fillId="21" borderId="4" xfId="0" applyFont="1" applyFill="1" applyBorder="1" applyAlignment="1" applyProtection="1">
      <alignment horizontal="center" vertical="center"/>
      <protection hidden="1"/>
    </xf>
    <xf numFmtId="0" fontId="14" fillId="15" borderId="4" xfId="0" applyFont="1" applyFill="1" applyBorder="1" applyAlignment="1">
      <alignment horizontal="left" vertical="center" wrapText="1" indent="1"/>
    </xf>
    <xf numFmtId="0" fontId="21" fillId="10" borderId="26" xfId="2" applyFont="1" applyFill="1" applyBorder="1" applyAlignment="1">
      <alignment horizontal="left" vertical="center" wrapText="1" indent="1"/>
    </xf>
    <xf numFmtId="0" fontId="21" fillId="10" borderId="27" xfId="2" applyFont="1" applyFill="1" applyBorder="1" applyAlignment="1">
      <alignment horizontal="left" vertical="center" wrapText="1" indent="1"/>
    </xf>
    <xf numFmtId="0" fontId="2" fillId="11" borderId="25" xfId="2" applyFont="1" applyFill="1" applyBorder="1" applyAlignment="1" applyProtection="1">
      <alignment horizontal="left" vertical="center" wrapText="1" indent="1"/>
      <protection hidden="1"/>
    </xf>
    <xf numFmtId="0" fontId="2" fillId="11" borderId="26" xfId="2" applyFont="1" applyFill="1" applyBorder="1" applyAlignment="1" applyProtection="1">
      <alignment horizontal="left" vertical="center" wrapText="1" indent="1"/>
      <protection hidden="1"/>
    </xf>
    <xf numFmtId="0" fontId="2" fillId="11" borderId="27" xfId="2" applyFont="1" applyFill="1" applyBorder="1" applyAlignment="1" applyProtection="1">
      <alignment horizontal="left" vertical="center" wrapText="1" indent="1"/>
      <protection hidden="1"/>
    </xf>
    <xf numFmtId="0" fontId="13" fillId="21" borderId="10" xfId="0" applyFont="1" applyFill="1" applyBorder="1" applyAlignment="1" applyProtection="1">
      <alignment horizontal="center" vertical="center"/>
      <protection hidden="1"/>
    </xf>
    <xf numFmtId="0" fontId="2" fillId="10" borderId="36" xfId="2" applyFont="1" applyFill="1" applyBorder="1" applyAlignment="1" applyProtection="1">
      <alignment horizontal="left" vertical="center" wrapText="1" indent="6"/>
      <protection hidden="1"/>
    </xf>
    <xf numFmtId="0" fontId="2" fillId="10" borderId="37" xfId="2" applyFont="1" applyFill="1" applyBorder="1" applyAlignment="1" applyProtection="1">
      <alignment horizontal="left" vertical="center" wrapText="1" indent="6"/>
      <protection hidden="1"/>
    </xf>
    <xf numFmtId="0" fontId="2" fillId="10" borderId="38" xfId="2" applyFont="1" applyFill="1" applyBorder="1" applyAlignment="1" applyProtection="1">
      <alignment horizontal="left" vertical="center" wrapText="1" indent="6"/>
      <protection hidden="1"/>
    </xf>
    <xf numFmtId="0" fontId="2" fillId="10" borderId="22" xfId="2" applyFont="1" applyFill="1" applyBorder="1" applyAlignment="1" applyProtection="1">
      <alignment horizontal="left" vertical="center" wrapText="1" indent="6"/>
      <protection hidden="1"/>
    </xf>
    <xf numFmtId="0" fontId="2" fillId="10" borderId="23" xfId="2" applyFont="1" applyFill="1" applyBorder="1" applyAlignment="1" applyProtection="1">
      <alignment horizontal="left" vertical="center" wrapText="1" indent="6"/>
      <protection hidden="1"/>
    </xf>
    <xf numFmtId="0" fontId="2" fillId="10" borderId="24" xfId="2" applyFont="1" applyFill="1" applyBorder="1" applyAlignment="1" applyProtection="1">
      <alignment horizontal="left" vertical="center" wrapText="1" indent="6"/>
      <protection hidden="1"/>
    </xf>
    <xf numFmtId="0" fontId="2" fillId="2" borderId="0" xfId="2" applyFont="1" applyFill="1" applyBorder="1" applyAlignment="1" applyProtection="1">
      <alignment horizontal="left" vertical="center" wrapText="1" indent="6"/>
      <protection hidden="1"/>
    </xf>
    <xf numFmtId="0" fontId="2" fillId="10" borderId="37" xfId="2" applyFont="1" applyFill="1" applyBorder="1" applyAlignment="1" applyProtection="1">
      <alignment horizontal="left" vertical="center" indent="6"/>
      <protection hidden="1"/>
    </xf>
    <xf numFmtId="0" fontId="2" fillId="10" borderId="38" xfId="2" applyFont="1" applyFill="1" applyBorder="1" applyAlignment="1" applyProtection="1">
      <alignment horizontal="left" vertical="center" indent="6"/>
      <protection hidden="1"/>
    </xf>
    <xf numFmtId="0" fontId="2" fillId="10" borderId="39" xfId="2" applyFont="1" applyFill="1" applyBorder="1" applyAlignment="1" applyProtection="1">
      <alignment horizontal="left" vertical="center" indent="6"/>
      <protection hidden="1"/>
    </xf>
    <xf numFmtId="0" fontId="2" fillId="10" borderId="0" xfId="2" applyFont="1" applyFill="1" applyBorder="1" applyAlignment="1" applyProtection="1">
      <alignment horizontal="left" vertical="center" indent="6"/>
      <protection hidden="1"/>
    </xf>
    <xf numFmtId="0" fontId="2" fillId="10" borderId="40" xfId="2" applyFont="1" applyFill="1" applyBorder="1" applyAlignment="1" applyProtection="1">
      <alignment horizontal="left" vertical="center" indent="6"/>
      <protection hidden="1"/>
    </xf>
    <xf numFmtId="0" fontId="2" fillId="10" borderId="22" xfId="2" applyFont="1" applyFill="1" applyBorder="1" applyAlignment="1" applyProtection="1">
      <alignment horizontal="left" vertical="center" indent="6"/>
      <protection hidden="1"/>
    </xf>
    <xf numFmtId="0" fontId="2" fillId="10" borderId="23" xfId="2" applyFont="1" applyFill="1" applyBorder="1" applyAlignment="1" applyProtection="1">
      <alignment horizontal="left" vertical="center" indent="6"/>
      <protection hidden="1"/>
    </xf>
    <xf numFmtId="0" fontId="2" fillId="10" borderId="24" xfId="2" applyFont="1" applyFill="1" applyBorder="1" applyAlignment="1" applyProtection="1">
      <alignment horizontal="left" vertical="center" indent="6"/>
      <protection hidden="1"/>
    </xf>
    <xf numFmtId="0" fontId="47" fillId="21" borderId="10" xfId="0" applyFont="1" applyFill="1" applyBorder="1" applyAlignment="1">
      <alignment horizontal="left" vertical="center" wrapText="1" indent="1"/>
    </xf>
    <xf numFmtId="0" fontId="47" fillId="21" borderId="7" xfId="0" applyFont="1" applyFill="1" applyBorder="1" applyAlignment="1">
      <alignment horizontal="left" vertical="center" wrapText="1" indent="1"/>
    </xf>
    <xf numFmtId="0" fontId="20" fillId="2" borderId="0" xfId="2" applyFont="1" applyFill="1" applyBorder="1" applyAlignment="1" applyProtection="1">
      <alignment horizontal="left" vertical="center" wrapText="1" indent="6"/>
      <protection hidden="1"/>
    </xf>
    <xf numFmtId="0" fontId="20" fillId="2" borderId="0" xfId="2" applyFont="1" applyFill="1" applyBorder="1" applyAlignment="1" applyProtection="1">
      <alignment horizontal="left" vertical="center" indent="6"/>
      <protection hidden="1"/>
    </xf>
    <xf numFmtId="0" fontId="145" fillId="2" borderId="0" xfId="2" applyFont="1" applyFill="1" applyBorder="1" applyAlignment="1" applyProtection="1">
      <alignment horizontal="center"/>
      <protection hidden="1"/>
    </xf>
    <xf numFmtId="0" fontId="2" fillId="10" borderId="36" xfId="2" applyFill="1" applyBorder="1" applyAlignment="1" applyProtection="1">
      <alignment horizontal="left" indent="6"/>
      <protection hidden="1"/>
    </xf>
    <xf numFmtId="0" fontId="2" fillId="10" borderId="37" xfId="2" applyFill="1" applyBorder="1" applyAlignment="1" applyProtection="1">
      <alignment horizontal="left" indent="6"/>
      <protection hidden="1"/>
    </xf>
    <xf numFmtId="0" fontId="2" fillId="10" borderId="38" xfId="2" applyFill="1" applyBorder="1" applyAlignment="1" applyProtection="1">
      <alignment horizontal="left" indent="6"/>
      <protection hidden="1"/>
    </xf>
    <xf numFmtId="0" fontId="2" fillId="2" borderId="0" xfId="2" applyFont="1" applyFill="1" applyBorder="1" applyAlignment="1" applyProtection="1">
      <alignment horizontal="left" vertical="center" indent="6"/>
      <protection hidden="1"/>
    </xf>
    <xf numFmtId="0" fontId="2" fillId="10" borderId="39" xfId="2" applyFont="1" applyFill="1" applyBorder="1" applyAlignment="1" applyProtection="1">
      <alignment horizontal="left" vertical="center" indent="7"/>
      <protection hidden="1"/>
    </xf>
    <xf numFmtId="0" fontId="2" fillId="10" borderId="0" xfId="2" applyFont="1" applyFill="1" applyBorder="1" applyAlignment="1" applyProtection="1">
      <alignment horizontal="left" vertical="center" indent="7"/>
      <protection hidden="1"/>
    </xf>
    <xf numFmtId="0" fontId="2" fillId="10" borderId="40" xfId="2" applyFont="1" applyFill="1" applyBorder="1" applyAlignment="1" applyProtection="1">
      <alignment horizontal="left" vertical="center" indent="7"/>
      <protection hidden="1"/>
    </xf>
    <xf numFmtId="0" fontId="2" fillId="10" borderId="22" xfId="2" applyFont="1" applyFill="1" applyBorder="1" applyAlignment="1" applyProtection="1">
      <alignment horizontal="left" vertical="center" indent="7"/>
      <protection hidden="1"/>
    </xf>
    <xf numFmtId="0" fontId="2" fillId="10" borderId="23" xfId="2" applyFont="1" applyFill="1" applyBorder="1" applyAlignment="1" applyProtection="1">
      <alignment horizontal="left" vertical="center" indent="7"/>
      <protection hidden="1"/>
    </xf>
    <xf numFmtId="0" fontId="2" fillId="10" borderId="24" xfId="2" applyFont="1" applyFill="1" applyBorder="1" applyAlignment="1" applyProtection="1">
      <alignment horizontal="left" vertical="center" indent="7"/>
      <protection hidden="1"/>
    </xf>
    <xf numFmtId="0" fontId="2" fillId="10" borderId="36" xfId="2" applyFont="1" applyFill="1" applyBorder="1" applyAlignment="1" applyProtection="1">
      <alignment horizontal="left" vertical="center" indent="6"/>
      <protection hidden="1"/>
    </xf>
    <xf numFmtId="0" fontId="57" fillId="20" borderId="28" xfId="0" applyFont="1" applyFill="1" applyBorder="1" applyAlignment="1" applyProtection="1">
      <alignment horizontal="center" vertical="center" wrapText="1"/>
      <protection locked="0"/>
    </xf>
    <xf numFmtId="0" fontId="57" fillId="4" borderId="10" xfId="0" applyFont="1" applyFill="1" applyBorder="1" applyAlignment="1" applyProtection="1">
      <alignment horizontal="center" vertical="center" wrapText="1"/>
      <protection hidden="1"/>
    </xf>
    <xf numFmtId="0" fontId="57" fillId="4" borderId="8" xfId="0" applyFont="1" applyFill="1" applyBorder="1" applyAlignment="1" applyProtection="1">
      <alignment horizontal="center" vertical="center" wrapText="1"/>
      <protection hidden="1"/>
    </xf>
    <xf numFmtId="0" fontId="2" fillId="0" borderId="25" xfId="2" applyFont="1" applyFill="1" applyBorder="1" applyAlignment="1" applyProtection="1">
      <alignment horizontal="left" vertical="center" wrapText="1" indent="1"/>
      <protection hidden="1"/>
    </xf>
    <xf numFmtId="0" fontId="2" fillId="0" borderId="26" xfId="2" applyFont="1" applyFill="1" applyBorder="1" applyAlignment="1" applyProtection="1">
      <alignment horizontal="left" vertical="center" wrapText="1" indent="1"/>
      <protection hidden="1"/>
    </xf>
    <xf numFmtId="0" fontId="2" fillId="0" borderId="27" xfId="2" applyFont="1" applyFill="1" applyBorder="1" applyAlignment="1" applyProtection="1">
      <alignment horizontal="left" vertical="center" wrapText="1" indent="1"/>
      <protection hidden="1"/>
    </xf>
    <xf numFmtId="0" fontId="2" fillId="10" borderId="39" xfId="0" applyFont="1" applyFill="1" applyBorder="1" applyAlignment="1" applyProtection="1">
      <alignment horizontal="left" vertical="center" wrapText="1" indent="8"/>
      <protection hidden="1"/>
    </xf>
    <xf numFmtId="0" fontId="2" fillId="10" borderId="0" xfId="0" applyFont="1" applyFill="1" applyBorder="1" applyAlignment="1" applyProtection="1">
      <alignment horizontal="left" vertical="center" wrapText="1" indent="8"/>
      <protection hidden="1"/>
    </xf>
    <xf numFmtId="0" fontId="2" fillId="10" borderId="40" xfId="0" applyFont="1" applyFill="1" applyBorder="1" applyAlignment="1" applyProtection="1">
      <alignment horizontal="left" vertical="center" wrapText="1" indent="8"/>
      <protection hidden="1"/>
    </xf>
    <xf numFmtId="0" fontId="2" fillId="10" borderId="47" xfId="2" applyFill="1" applyBorder="1" applyAlignment="1" applyProtection="1">
      <alignment horizontal="left" vertical="center" wrapText="1" indent="6"/>
      <protection hidden="1"/>
    </xf>
    <xf numFmtId="0" fontId="2" fillId="10" borderId="46" xfId="2" applyFill="1" applyBorder="1" applyAlignment="1" applyProtection="1">
      <alignment horizontal="left" vertical="center" wrapText="1" indent="6"/>
      <protection hidden="1"/>
    </xf>
    <xf numFmtId="0" fontId="2" fillId="10" borderId="48" xfId="2" applyFill="1" applyBorder="1" applyAlignment="1" applyProtection="1">
      <alignment horizontal="left" vertical="center" wrapText="1" indent="6"/>
      <protection hidden="1"/>
    </xf>
    <xf numFmtId="0" fontId="2" fillId="10" borderId="51" xfId="2" applyFill="1" applyBorder="1" applyAlignment="1" applyProtection="1">
      <alignment horizontal="left" vertical="center" indent="6"/>
      <protection hidden="1"/>
    </xf>
    <xf numFmtId="0" fontId="2" fillId="10" borderId="6" xfId="2" applyFill="1" applyBorder="1" applyAlignment="1" applyProtection="1">
      <alignment horizontal="left" vertical="center" indent="6"/>
      <protection hidden="1"/>
    </xf>
    <xf numFmtId="0" fontId="2" fillId="10" borderId="52" xfId="2" applyFill="1" applyBorder="1" applyAlignment="1" applyProtection="1">
      <alignment horizontal="left" vertical="center" indent="6"/>
      <protection hidden="1"/>
    </xf>
    <xf numFmtId="0" fontId="2" fillId="10" borderId="22" xfId="0" applyFont="1" applyFill="1" applyBorder="1" applyAlignment="1" applyProtection="1">
      <alignment horizontal="left" vertical="center" wrapText="1" indent="8"/>
      <protection hidden="1"/>
    </xf>
    <xf numFmtId="0" fontId="2" fillId="10" borderId="23" xfId="0" applyFont="1" applyFill="1" applyBorder="1" applyAlignment="1" applyProtection="1">
      <alignment horizontal="left" vertical="center" wrapText="1" indent="8"/>
      <protection hidden="1"/>
    </xf>
    <xf numFmtId="0" fontId="11" fillId="21" borderId="32" xfId="0" applyFont="1" applyFill="1" applyBorder="1" applyAlignment="1" applyProtection="1">
      <alignment horizontal="left" vertical="center" indent="1"/>
      <protection hidden="1"/>
    </xf>
    <xf numFmtId="0" fontId="11" fillId="21" borderId="3" xfId="0" applyFont="1" applyFill="1" applyBorder="1" applyAlignment="1" applyProtection="1">
      <alignment horizontal="left" vertical="center" indent="1"/>
      <protection hidden="1"/>
    </xf>
    <xf numFmtId="0" fontId="2" fillId="10" borderId="39" xfId="2" applyFill="1" applyBorder="1" applyAlignment="1" applyProtection="1">
      <alignment horizontal="left" vertical="center" indent="7"/>
      <protection hidden="1"/>
    </xf>
    <xf numFmtId="0" fontId="2" fillId="10" borderId="0" xfId="2" applyFill="1" applyBorder="1" applyAlignment="1" applyProtection="1">
      <alignment horizontal="left" vertical="center" indent="7"/>
      <protection hidden="1"/>
    </xf>
    <xf numFmtId="0" fontId="2" fillId="10" borderId="40" xfId="2" applyFill="1" applyBorder="1" applyAlignment="1" applyProtection="1">
      <alignment horizontal="left" vertical="center" indent="7"/>
      <protection hidden="1"/>
    </xf>
    <xf numFmtId="0" fontId="2" fillId="20" borderId="0" xfId="2" applyFill="1" applyBorder="1" applyAlignment="1" applyProtection="1">
      <alignment horizontal="left" vertical="center"/>
      <protection locked="0" hidden="1"/>
    </xf>
    <xf numFmtId="0" fontId="2" fillId="10" borderId="36" xfId="2" applyFill="1" applyBorder="1" applyAlignment="1" applyProtection="1">
      <alignment horizontal="left" vertical="center" indent="6"/>
      <protection hidden="1"/>
    </xf>
    <xf numFmtId="0" fontId="2" fillId="10" borderId="37" xfId="2" applyFill="1" applyBorder="1" applyAlignment="1" applyProtection="1">
      <alignment horizontal="left" vertical="center" indent="6"/>
      <protection hidden="1"/>
    </xf>
    <xf numFmtId="0" fontId="2" fillId="10" borderId="38" xfId="2" applyFill="1" applyBorder="1" applyAlignment="1" applyProtection="1">
      <alignment horizontal="left" vertical="center" indent="6"/>
      <protection hidden="1"/>
    </xf>
    <xf numFmtId="0" fontId="2" fillId="10" borderId="22" xfId="2" applyFill="1" applyBorder="1" applyAlignment="1" applyProtection="1">
      <alignment horizontal="left" vertical="center" indent="7"/>
      <protection hidden="1"/>
    </xf>
    <xf numFmtId="0" fontId="2" fillId="10" borderId="23" xfId="2" applyFill="1" applyBorder="1" applyAlignment="1" applyProtection="1">
      <alignment horizontal="left" vertical="center" indent="7"/>
      <protection hidden="1"/>
    </xf>
    <xf numFmtId="0" fontId="2" fillId="10" borderId="24" xfId="2" applyFill="1" applyBorder="1" applyAlignment="1" applyProtection="1">
      <alignment horizontal="left" vertical="center" indent="7"/>
      <protection hidden="1"/>
    </xf>
    <xf numFmtId="0" fontId="8" fillId="18" borderId="25" xfId="2" applyFont="1" applyFill="1" applyBorder="1" applyAlignment="1" applyProtection="1">
      <alignment horizontal="center" vertical="center"/>
      <protection hidden="1"/>
    </xf>
    <xf numFmtId="0" fontId="8" fillId="18" borderId="26" xfId="2" applyFont="1" applyFill="1" applyBorder="1" applyAlignment="1" applyProtection="1">
      <alignment horizontal="center" vertical="center"/>
      <protection hidden="1"/>
    </xf>
    <xf numFmtId="0" fontId="2" fillId="10" borderId="39" xfId="2" applyFill="1" applyBorder="1" applyAlignment="1" applyProtection="1">
      <alignment horizontal="left" vertical="center" indent="8"/>
      <protection hidden="1"/>
    </xf>
    <xf numFmtId="0" fontId="2" fillId="10" borderId="0" xfId="2" applyFill="1" applyBorder="1" applyAlignment="1" applyProtection="1">
      <alignment horizontal="left" vertical="center" indent="8"/>
      <protection hidden="1"/>
    </xf>
    <xf numFmtId="0" fontId="2" fillId="10" borderId="40" xfId="2" applyFill="1" applyBorder="1" applyAlignment="1" applyProtection="1">
      <alignment horizontal="left" vertical="center" indent="8"/>
      <protection hidden="1"/>
    </xf>
    <xf numFmtId="0" fontId="2" fillId="10" borderId="22" xfId="2" applyFill="1" applyBorder="1" applyAlignment="1" applyProtection="1">
      <alignment horizontal="left" vertical="center" indent="8"/>
      <protection hidden="1"/>
    </xf>
    <xf numFmtId="0" fontId="2" fillId="10" borderId="23" xfId="2" applyFill="1" applyBorder="1" applyAlignment="1" applyProtection="1">
      <alignment horizontal="left" vertical="center" indent="8"/>
      <protection hidden="1"/>
    </xf>
    <xf numFmtId="0" fontId="2" fillId="10" borderId="24" xfId="2" applyFill="1" applyBorder="1" applyAlignment="1" applyProtection="1">
      <alignment horizontal="left" vertical="center" indent="8"/>
      <protection hidden="1"/>
    </xf>
    <xf numFmtId="0" fontId="20" fillId="23" borderId="0" xfId="0" applyFont="1" applyFill="1" applyBorder="1" applyAlignment="1" applyProtection="1">
      <alignment horizontal="left" vertical="center" wrapText="1" indent="5"/>
      <protection hidden="1"/>
    </xf>
    <xf numFmtId="0" fontId="21" fillId="23" borderId="0" xfId="0" applyFont="1" applyFill="1" applyBorder="1" applyAlignment="1" applyProtection="1">
      <alignment horizontal="left" vertical="center" wrapText="1" indent="5"/>
      <protection hidden="1"/>
    </xf>
    <xf numFmtId="0" fontId="49" fillId="16" borderId="4" xfId="0" applyFont="1" applyFill="1" applyBorder="1" applyAlignment="1" applyProtection="1">
      <alignment horizontal="center" vertical="center" wrapText="1"/>
      <protection hidden="1"/>
    </xf>
    <xf numFmtId="0" fontId="48" fillId="16" borderId="30" xfId="2" applyFont="1" applyFill="1" applyBorder="1" applyAlignment="1">
      <alignment horizontal="left" vertical="center"/>
    </xf>
    <xf numFmtId="0" fontId="48" fillId="16" borderId="0" xfId="2" applyFont="1" applyFill="1" applyBorder="1" applyAlignment="1">
      <alignment horizontal="left" vertical="center"/>
    </xf>
    <xf numFmtId="0" fontId="5" fillId="16" borderId="0" xfId="2" applyFont="1" applyFill="1" applyBorder="1" applyAlignment="1" applyProtection="1">
      <alignment horizontal="left" vertical="center" wrapText="1"/>
      <protection hidden="1"/>
    </xf>
    <xf numFmtId="0" fontId="5" fillId="16" borderId="32"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49" fillId="16" borderId="4" xfId="0" applyFont="1" applyFill="1" applyBorder="1" applyAlignment="1" applyProtection="1">
      <alignment horizontal="left" vertical="center" indent="1"/>
      <protection hidden="1"/>
    </xf>
    <xf numFmtId="0" fontId="54" fillId="10" borderId="4" xfId="3" applyFont="1" applyFill="1" applyBorder="1" applyAlignment="1">
      <alignment horizontal="left" vertical="center" indent="1"/>
    </xf>
    <xf numFmtId="0" fontId="2" fillId="4" borderId="10" xfId="4" applyNumberFormat="1" applyFont="1" applyFill="1" applyBorder="1" applyAlignment="1" applyProtection="1">
      <alignment horizontal="center" vertical="center"/>
      <protection hidden="1"/>
    </xf>
    <xf numFmtId="0" fontId="2" fillId="4" borderId="8" xfId="4" applyNumberFormat="1" applyFont="1" applyFill="1" applyBorder="1" applyAlignment="1" applyProtection="1">
      <alignment horizontal="center" vertical="center"/>
      <protection hidden="1"/>
    </xf>
    <xf numFmtId="0" fontId="21" fillId="22" borderId="0" xfId="2" applyFont="1" applyFill="1" applyAlignment="1" applyProtection="1">
      <alignment horizontal="left" vertical="center" wrapText="1" indent="5"/>
      <protection hidden="1"/>
    </xf>
    <xf numFmtId="0" fontId="13" fillId="17" borderId="8" xfId="4" applyFont="1" applyFill="1" applyBorder="1" applyAlignment="1" applyProtection="1">
      <alignment horizontal="center" vertical="center" wrapText="1"/>
      <protection hidden="1"/>
    </xf>
    <xf numFmtId="0" fontId="13" fillId="17" borderId="10" xfId="4" applyFont="1" applyFill="1" applyBorder="1" applyAlignment="1" applyProtection="1">
      <alignment horizontal="center" vertical="center" wrapText="1"/>
      <protection hidden="1"/>
    </xf>
    <xf numFmtId="0" fontId="2" fillId="4" borderId="10" xfId="4" applyNumberFormat="1" applyFont="1" applyFill="1" applyBorder="1" applyAlignment="1" applyProtection="1">
      <alignment horizontal="center" vertical="center" wrapText="1"/>
      <protection hidden="1"/>
    </xf>
    <xf numFmtId="0" fontId="2" fillId="4" borderId="8" xfId="4" applyNumberFormat="1" applyFont="1" applyFill="1" applyBorder="1" applyAlignment="1" applyProtection="1">
      <alignment horizontal="center" vertical="center" wrapText="1"/>
      <protection hidden="1"/>
    </xf>
    <xf numFmtId="0" fontId="78" fillId="31" borderId="4" xfId="0" applyFont="1" applyFill="1" applyBorder="1" applyAlignment="1">
      <alignment horizontal="center" vertical="center" wrapText="1"/>
    </xf>
    <xf numFmtId="0" fontId="78" fillId="30" borderId="4" xfId="0" applyFont="1" applyFill="1" applyBorder="1" applyAlignment="1">
      <alignment horizontal="center" vertical="center" wrapText="1"/>
    </xf>
    <xf numFmtId="2" fontId="2" fillId="4" borderId="34" xfId="4" applyNumberFormat="1" applyFont="1" applyFill="1" applyBorder="1" applyAlignment="1" applyProtection="1">
      <alignment horizontal="center" vertical="center"/>
      <protection hidden="1"/>
    </xf>
    <xf numFmtId="2" fontId="2" fillId="4" borderId="28" xfId="4" applyNumberFormat="1" applyFont="1" applyFill="1" applyBorder="1" applyAlignment="1" applyProtection="1">
      <alignment horizontal="center" vertical="center"/>
      <protection hidden="1"/>
    </xf>
    <xf numFmtId="0" fontId="13" fillId="17" borderId="30" xfId="4" applyFont="1" applyFill="1" applyBorder="1" applyAlignment="1" applyProtection="1">
      <alignment horizontal="center" vertical="center" wrapText="1"/>
      <protection hidden="1"/>
    </xf>
    <xf numFmtId="0" fontId="13" fillId="17" borderId="3" xfId="4" applyFont="1" applyFill="1" applyBorder="1" applyAlignment="1" applyProtection="1">
      <alignment horizontal="center" vertical="center" wrapText="1"/>
      <protection hidden="1"/>
    </xf>
    <xf numFmtId="0" fontId="13" fillId="17" borderId="31" xfId="4" applyNumberFormat="1" applyFont="1" applyFill="1" applyBorder="1" applyAlignment="1" applyProtection="1">
      <alignment horizontal="center" vertical="center" wrapText="1"/>
      <protection hidden="1"/>
    </xf>
    <xf numFmtId="0" fontId="13" fillId="17" borderId="33" xfId="4" applyNumberFormat="1" applyFont="1" applyFill="1" applyBorder="1" applyAlignment="1" applyProtection="1">
      <alignment horizontal="center" vertical="center" wrapText="1"/>
      <protection hidden="1"/>
    </xf>
    <xf numFmtId="0" fontId="11" fillId="16" borderId="0" xfId="0" applyFont="1" applyFill="1" applyBorder="1" applyAlignment="1" applyProtection="1">
      <alignment horizontal="center" vertical="center"/>
      <protection hidden="1"/>
    </xf>
    <xf numFmtId="0" fontId="11" fillId="16" borderId="3" xfId="0" applyFont="1" applyFill="1" applyBorder="1" applyAlignment="1" applyProtection="1">
      <alignment horizontal="center" vertical="center"/>
      <protection hidden="1"/>
    </xf>
    <xf numFmtId="0" fontId="10" fillId="16" borderId="0" xfId="0" applyFont="1" applyFill="1" applyBorder="1" applyAlignment="1" applyProtection="1">
      <alignment horizontal="left" vertical="center" indent="1"/>
      <protection hidden="1"/>
    </xf>
    <xf numFmtId="0" fontId="2" fillId="20" borderId="34" xfId="4" applyNumberFormat="1" applyFont="1" applyFill="1" applyBorder="1" applyAlignment="1" applyProtection="1">
      <alignment horizontal="center" vertical="center"/>
      <protection locked="0"/>
    </xf>
    <xf numFmtId="0" fontId="2" fillId="20" borderId="28" xfId="4" applyNumberFormat="1" applyFont="1" applyFill="1" applyBorder="1" applyAlignment="1" applyProtection="1">
      <alignment horizontal="center" vertical="center"/>
      <protection locked="0"/>
    </xf>
    <xf numFmtId="0" fontId="2" fillId="18" borderId="25" xfId="3" applyFont="1" applyFill="1" applyBorder="1" applyAlignment="1">
      <alignment horizontal="center" vertical="center"/>
    </xf>
    <xf numFmtId="0" fontId="2" fillId="18" borderId="26" xfId="3" applyFont="1" applyFill="1" applyBorder="1" applyAlignment="1">
      <alignment horizontal="center" vertical="center"/>
    </xf>
    <xf numFmtId="0" fontId="2" fillId="18" borderId="27" xfId="3" applyFont="1" applyFill="1" applyBorder="1" applyAlignment="1">
      <alignment horizontal="center" vertical="center"/>
    </xf>
    <xf numFmtId="0" fontId="19" fillId="16" borderId="25" xfId="2" applyFont="1" applyFill="1" applyBorder="1" applyAlignment="1" applyProtection="1">
      <alignment horizontal="left" vertical="center" wrapText="1" indent="1"/>
      <protection hidden="1"/>
    </xf>
    <xf numFmtId="0" fontId="19" fillId="16" borderId="26" xfId="2" applyFont="1" applyFill="1" applyBorder="1" applyAlignment="1" applyProtection="1">
      <alignment horizontal="left" vertical="center" wrapText="1" indent="1"/>
      <protection hidden="1"/>
    </xf>
    <xf numFmtId="0" fontId="2" fillId="20" borderId="4" xfId="4" applyNumberFormat="1"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38" fillId="16" borderId="0" xfId="0" applyFont="1" applyFill="1" applyBorder="1" applyAlignment="1" applyProtection="1">
      <alignment horizontal="left" vertical="center" indent="1"/>
      <protection hidden="1"/>
    </xf>
    <xf numFmtId="0" fontId="35" fillId="17" borderId="34" xfId="4" applyFont="1" applyFill="1" applyBorder="1" applyAlignment="1" applyProtection="1">
      <alignment horizontal="center" vertical="distributed" wrapText="1"/>
      <protection hidden="1"/>
    </xf>
    <xf numFmtId="0" fontId="35" fillId="17" borderId="29" xfId="4" applyFont="1" applyFill="1" applyBorder="1" applyAlignment="1" applyProtection="1">
      <alignment horizontal="center" vertical="distributed" wrapText="1"/>
      <protection hidden="1"/>
    </xf>
    <xf numFmtId="0" fontId="21" fillId="22" borderId="25" xfId="2" applyFont="1" applyFill="1" applyBorder="1" applyAlignment="1" applyProtection="1">
      <alignment horizontal="left" vertical="center" wrapText="1" indent="1"/>
      <protection hidden="1"/>
    </xf>
    <xf numFmtId="0" fontId="21" fillId="22" borderId="26" xfId="2" applyFont="1" applyFill="1" applyBorder="1" applyAlignment="1" applyProtection="1">
      <alignment horizontal="left" vertical="center" wrapText="1" indent="1"/>
      <protection hidden="1"/>
    </xf>
    <xf numFmtId="0" fontId="21" fillId="22" borderId="27" xfId="2" applyFont="1" applyFill="1" applyBorder="1" applyAlignment="1" applyProtection="1">
      <alignment horizontal="left" vertical="center" wrapText="1" indent="1"/>
      <protection hidden="1"/>
    </xf>
    <xf numFmtId="0" fontId="13" fillId="17" borderId="7" xfId="4" applyFont="1" applyFill="1" applyBorder="1" applyAlignment="1" applyProtection="1">
      <alignment horizontal="center" vertical="center" wrapText="1"/>
      <protection hidden="1"/>
    </xf>
    <xf numFmtId="0" fontId="2" fillId="10" borderId="39"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40" xfId="2" applyFill="1" applyBorder="1" applyAlignment="1" applyProtection="1">
      <alignment horizontal="left" indent="8"/>
      <protection hidden="1"/>
    </xf>
    <xf numFmtId="0" fontId="21" fillId="24" borderId="0" xfId="2" applyFont="1" applyFill="1" applyAlignment="1" applyProtection="1">
      <alignment horizontal="left" vertical="center" wrapText="1" indent="5"/>
      <protection hidden="1"/>
    </xf>
    <xf numFmtId="0" fontId="47" fillId="16" borderId="4" xfId="0" applyFont="1" applyFill="1" applyBorder="1" applyAlignment="1">
      <alignment horizontal="center" vertical="center" wrapText="1"/>
    </xf>
    <xf numFmtId="0" fontId="47" fillId="16" borderId="10" xfId="0" applyFont="1" applyFill="1" applyBorder="1" applyAlignment="1">
      <alignment horizontal="center" vertical="center" wrapText="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35" fillId="17" borderId="4" xfId="4" applyFont="1" applyFill="1" applyBorder="1" applyAlignment="1" applyProtection="1">
      <alignment horizontal="center" vertical="distributed" wrapText="1"/>
      <protection hidden="1"/>
    </xf>
    <xf numFmtId="0" fontId="35" fillId="17" borderId="10" xfId="4" applyFont="1" applyFill="1" applyBorder="1" applyAlignment="1" applyProtection="1">
      <alignment horizontal="center" vertical="distributed" wrapText="1"/>
      <protection hidden="1"/>
    </xf>
    <xf numFmtId="0" fontId="35" fillId="17" borderId="7" xfId="4" applyFont="1" applyFill="1" applyBorder="1" applyAlignment="1" applyProtection="1">
      <alignment horizontal="center" vertical="distributed" wrapText="1"/>
      <protection hidden="1"/>
    </xf>
    <xf numFmtId="0" fontId="35" fillId="17" borderId="4" xfId="4"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13" fillId="16" borderId="1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left" vertical="center" indent="1"/>
      <protection hidden="1"/>
    </xf>
    <xf numFmtId="0" fontId="78" fillId="15" borderId="4" xfId="0" applyFont="1" applyFill="1" applyBorder="1" applyAlignment="1">
      <alignment horizontal="center" vertical="center" wrapText="1"/>
    </xf>
    <xf numFmtId="0" fontId="47" fillId="16" borderId="8" xfId="0" applyFont="1" applyFill="1" applyBorder="1" applyAlignment="1">
      <alignment horizontal="center" vertical="center" wrapText="1"/>
    </xf>
    <xf numFmtId="0" fontId="35" fillId="17" borderId="30" xfId="4" applyFont="1" applyFill="1" applyBorder="1" applyAlignment="1" applyProtection="1">
      <alignment horizontal="center" vertical="distributed" wrapText="1"/>
      <protection hidden="1"/>
    </xf>
    <xf numFmtId="0" fontId="2" fillId="20" borderId="34" xfId="4" applyNumberFormat="1" applyFont="1" applyFill="1" applyBorder="1" applyAlignment="1" applyProtection="1">
      <alignment horizontal="center"/>
      <protection locked="0"/>
    </xf>
    <xf numFmtId="0" fontId="2" fillId="20" borderId="28" xfId="4" applyNumberFormat="1" applyFont="1" applyFill="1" applyBorder="1" applyAlignment="1" applyProtection="1">
      <alignment horizontal="center"/>
      <protection locked="0"/>
    </xf>
    <xf numFmtId="0" fontId="13" fillId="16" borderId="7" xfId="0" applyFont="1" applyFill="1" applyBorder="1" applyAlignment="1" applyProtection="1">
      <alignment horizontal="center" vertical="center"/>
      <protection hidden="1"/>
    </xf>
    <xf numFmtId="0" fontId="13" fillId="16" borderId="8" xfId="0" applyFont="1" applyFill="1" applyBorder="1" applyAlignment="1" applyProtection="1">
      <alignment horizontal="center" vertical="center"/>
      <protection hidden="1"/>
    </xf>
    <xf numFmtId="0" fontId="47" fillId="16" borderId="7" xfId="0" applyFont="1" applyFill="1" applyBorder="1" applyAlignment="1">
      <alignment horizontal="center" vertical="center" wrapText="1"/>
    </xf>
    <xf numFmtId="0" fontId="2" fillId="20" borderId="29" xfId="4" applyNumberFormat="1" applyFont="1" applyFill="1" applyBorder="1" applyAlignment="1" applyProtection="1">
      <alignment horizontal="center" vertical="center"/>
      <protection locked="0"/>
    </xf>
    <xf numFmtId="0" fontId="2" fillId="20" borderId="30" xfId="4" applyNumberFormat="1" applyFont="1" applyFill="1" applyBorder="1" applyAlignment="1" applyProtection="1">
      <alignment horizontal="center" vertical="center"/>
      <protection locked="0"/>
    </xf>
    <xf numFmtId="0" fontId="21" fillId="24" borderId="0" xfId="0" applyFont="1" applyFill="1" applyBorder="1" applyAlignment="1" applyProtection="1">
      <alignment horizontal="left" vertical="center" wrapText="1"/>
      <protection hidden="1"/>
    </xf>
    <xf numFmtId="0" fontId="2" fillId="4" borderId="29" xfId="0" applyFont="1" applyFill="1" applyBorder="1" applyAlignment="1" applyProtection="1">
      <alignment horizontal="left" vertical="center" wrapText="1" indent="1"/>
      <protection hidden="1"/>
    </xf>
    <xf numFmtId="0" fontId="2" fillId="4" borderId="30" xfId="0" applyFont="1" applyFill="1" applyBorder="1" applyAlignment="1" applyProtection="1">
      <alignment horizontal="left" vertical="center" wrapText="1" indent="1"/>
      <protection hidden="1"/>
    </xf>
    <xf numFmtId="0" fontId="2" fillId="4" borderId="31" xfId="0" applyFont="1" applyFill="1" applyBorder="1" applyAlignment="1" applyProtection="1">
      <alignment horizontal="left" vertical="center" wrapText="1" indent="1"/>
      <protection hidden="1"/>
    </xf>
    <xf numFmtId="0" fontId="2" fillId="20" borderId="4" xfId="4" applyNumberFormat="1" applyFont="1" applyFill="1" applyBorder="1" applyAlignment="1" applyProtection="1">
      <alignment horizontal="center" vertical="center" wrapText="1"/>
      <protection locked="0"/>
    </xf>
    <xf numFmtId="0" fontId="2" fillId="24" borderId="3" xfId="2" applyFill="1" applyBorder="1" applyAlignment="1" applyProtection="1">
      <alignment horizontal="center" vertical="center"/>
      <protection hidden="1"/>
    </xf>
    <xf numFmtId="0" fontId="13" fillId="17" borderId="4" xfId="4" applyFont="1" applyFill="1" applyBorder="1" applyAlignment="1" applyProtection="1">
      <alignment horizontal="center" vertical="distributed" wrapText="1"/>
      <protection hidden="1"/>
    </xf>
    <xf numFmtId="0" fontId="13" fillId="17" borderId="10" xfId="4" applyFont="1" applyFill="1" applyBorder="1" applyAlignment="1" applyProtection="1">
      <alignment horizontal="center" vertical="distributed" wrapText="1"/>
      <protection hidden="1"/>
    </xf>
    <xf numFmtId="0" fontId="2" fillId="22" borderId="3" xfId="2" applyFill="1" applyBorder="1" applyAlignment="1" applyProtection="1">
      <alignment horizontal="center" vertical="center"/>
      <protection hidden="1"/>
    </xf>
    <xf numFmtId="0" fontId="167" fillId="16" borderId="0" xfId="0" applyFont="1" applyFill="1" applyBorder="1" applyAlignment="1" applyProtection="1">
      <alignment horizontal="left" vertical="center" indent="1"/>
      <protection hidden="1"/>
    </xf>
    <xf numFmtId="0" fontId="9" fillId="16" borderId="0" xfId="0" applyFont="1" applyFill="1" applyBorder="1" applyAlignment="1" applyProtection="1">
      <alignment horizontal="left" vertical="center" indent="1"/>
      <protection hidden="1"/>
    </xf>
    <xf numFmtId="0" fontId="11" fillId="16" borderId="10" xfId="0" applyFont="1" applyFill="1" applyBorder="1" applyAlignment="1" applyProtection="1">
      <alignment horizontal="left" vertical="center" wrapText="1" indent="1"/>
      <protection hidden="1"/>
    </xf>
    <xf numFmtId="0" fontId="11" fillId="16" borderId="7" xfId="0" applyFont="1" applyFill="1" applyBorder="1" applyAlignment="1" applyProtection="1">
      <alignment horizontal="left" vertical="center" wrapText="1" indent="1"/>
      <protection hidden="1"/>
    </xf>
    <xf numFmtId="0" fontId="11" fillId="16" borderId="8" xfId="2" applyFont="1" applyFill="1" applyBorder="1" applyAlignment="1" applyProtection="1">
      <alignment horizontal="center" vertical="center" wrapText="1"/>
      <protection hidden="1"/>
    </xf>
    <xf numFmtId="0" fontId="11" fillId="16" borderId="4" xfId="2" applyFont="1" applyFill="1" applyBorder="1" applyAlignment="1" applyProtection="1">
      <alignment horizontal="center" vertical="center" wrapText="1"/>
      <protection hidden="1"/>
    </xf>
    <xf numFmtId="0" fontId="65" fillId="2" borderId="0" xfId="2" applyFont="1" applyFill="1" applyAlignment="1" applyProtection="1">
      <alignment horizontal="right" vertical="center" wrapText="1" indent="1"/>
      <protection hidden="1"/>
    </xf>
    <xf numFmtId="0" fontId="65" fillId="2" borderId="23" xfId="2" applyFont="1" applyFill="1" applyBorder="1" applyAlignment="1" applyProtection="1">
      <alignment horizontal="right" vertical="center" wrapText="1" indent="1"/>
      <protection hidden="1"/>
    </xf>
    <xf numFmtId="0" fontId="20" fillId="2" borderId="0" xfId="0" applyFont="1" applyFill="1" applyBorder="1" applyAlignment="1" applyProtection="1">
      <alignment horizontal="left" vertical="center" wrapText="1" indent="5"/>
      <protection hidden="1"/>
    </xf>
    <xf numFmtId="0" fontId="21" fillId="2" borderId="0" xfId="0" applyFont="1" applyFill="1" applyBorder="1" applyAlignment="1" applyProtection="1">
      <alignment horizontal="left" vertical="center" wrapText="1" indent="5"/>
      <protection hidden="1"/>
    </xf>
    <xf numFmtId="0" fontId="21" fillId="10" borderId="36" xfId="2" applyFont="1" applyFill="1" applyBorder="1" applyAlignment="1" applyProtection="1">
      <alignment horizontal="left" indent="7"/>
      <protection hidden="1"/>
    </xf>
    <xf numFmtId="0" fontId="21" fillId="10" borderId="37" xfId="2" applyFont="1" applyFill="1" applyBorder="1" applyAlignment="1" applyProtection="1">
      <alignment horizontal="left" indent="7"/>
      <protection hidden="1"/>
    </xf>
    <xf numFmtId="0" fontId="21" fillId="10" borderId="38" xfId="2" applyFont="1" applyFill="1" applyBorder="1" applyAlignment="1" applyProtection="1">
      <alignment horizontal="left" indent="7"/>
      <protection hidden="1"/>
    </xf>
    <xf numFmtId="0" fontId="14" fillId="20" borderId="4" xfId="0" quotePrefix="1" applyFont="1" applyFill="1" applyBorder="1" applyAlignment="1" applyProtection="1">
      <alignment horizontal="center" vertical="center" wrapText="1"/>
      <protection locked="0"/>
    </xf>
    <xf numFmtId="0" fontId="2" fillId="4" borderId="10"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35" fillId="16" borderId="10" xfId="4" applyFont="1" applyFill="1" applyBorder="1" applyAlignment="1" applyProtection="1">
      <alignment horizontal="center" vertical="center" wrapText="1"/>
      <protection hidden="1"/>
    </xf>
    <xf numFmtId="0" fontId="35" fillId="16" borderId="7" xfId="4" applyFont="1" applyFill="1" applyBorder="1" applyAlignment="1" applyProtection="1">
      <alignment horizontal="center" vertical="center" wrapText="1"/>
      <protection hidden="1"/>
    </xf>
    <xf numFmtId="0" fontId="35" fillId="16" borderId="8" xfId="4" applyFont="1" applyFill="1" applyBorder="1" applyAlignment="1" applyProtection="1">
      <alignment horizontal="center" vertical="center" wrapText="1"/>
      <protection hidden="1"/>
    </xf>
    <xf numFmtId="0" fontId="49" fillId="13" borderId="4" xfId="0" applyFont="1" applyFill="1" applyBorder="1" applyAlignment="1" applyProtection="1">
      <alignment horizontal="center" vertical="center" wrapText="1"/>
      <protection hidden="1"/>
    </xf>
    <xf numFmtId="0" fontId="106" fillId="10" borderId="4" xfId="3" applyFont="1" applyFill="1" applyBorder="1" applyAlignment="1">
      <alignment horizontal="left" vertical="center" indent="1"/>
    </xf>
    <xf numFmtId="0" fontId="5" fillId="13" borderId="0" xfId="2" applyFont="1" applyFill="1" applyAlignment="1">
      <alignment horizontal="center" vertical="center" wrapText="1"/>
    </xf>
    <xf numFmtId="0" fontId="48" fillId="13" borderId="0" xfId="2" applyFont="1" applyFill="1" applyAlignment="1">
      <alignment horizontal="left" vertical="center"/>
    </xf>
    <xf numFmtId="0" fontId="5" fillId="13" borderId="0" xfId="2" applyFont="1" applyFill="1" applyAlignment="1" applyProtection="1">
      <alignment horizontal="left" vertical="top" wrapText="1"/>
      <protection hidden="1"/>
    </xf>
    <xf numFmtId="0" fontId="49" fillId="13" borderId="29" xfId="0" applyFont="1" applyFill="1" applyBorder="1" applyAlignment="1" applyProtection="1">
      <alignment horizontal="left" vertical="center" indent="1"/>
      <protection hidden="1"/>
    </xf>
    <xf numFmtId="0" fontId="49" fillId="13" borderId="31" xfId="0" applyFont="1" applyFill="1" applyBorder="1" applyAlignment="1" applyProtection="1">
      <alignment horizontal="left" vertical="center" indent="1"/>
      <protection hidden="1"/>
    </xf>
    <xf numFmtId="0" fontId="49" fillId="13" borderId="32" xfId="0" applyFont="1" applyFill="1" applyBorder="1" applyAlignment="1" applyProtection="1">
      <alignment horizontal="left" vertical="center" indent="1"/>
      <protection hidden="1"/>
    </xf>
    <xf numFmtId="0" fontId="49" fillId="13" borderId="33" xfId="0" applyFont="1" applyFill="1" applyBorder="1" applyAlignment="1" applyProtection="1">
      <alignment horizontal="left" vertical="center" indent="1"/>
      <protection hidden="1"/>
    </xf>
    <xf numFmtId="0" fontId="9" fillId="13" borderId="0" xfId="0" applyFont="1" applyFill="1" applyBorder="1" applyAlignment="1" applyProtection="1">
      <alignment horizontal="left" vertical="center" indent="1"/>
      <protection hidden="1"/>
    </xf>
    <xf numFmtId="0" fontId="15" fillId="13" borderId="0" xfId="0" applyFont="1" applyFill="1" applyBorder="1" applyAlignment="1" applyProtection="1">
      <alignment horizontal="left" vertical="center" indent="1"/>
      <protection hidden="1"/>
    </xf>
    <xf numFmtId="0" fontId="14" fillId="11" borderId="0" xfId="2" applyFont="1" applyFill="1" applyBorder="1" applyAlignment="1">
      <alignment horizontal="left" vertical="center" wrapText="1" indent="1"/>
    </xf>
    <xf numFmtId="0" fontId="2" fillId="10" borderId="84" xfId="2" applyFont="1" applyFill="1" applyBorder="1" applyAlignment="1">
      <alignment horizontal="center" vertical="center"/>
    </xf>
    <xf numFmtId="0" fontId="2" fillId="10" borderId="85" xfId="2" applyFont="1" applyFill="1" applyBorder="1" applyAlignment="1">
      <alignment horizontal="center" vertical="center"/>
    </xf>
    <xf numFmtId="0" fontId="2" fillId="10" borderId="89" xfId="2" applyFont="1" applyFill="1" applyBorder="1" applyAlignment="1">
      <alignment horizontal="center" vertical="center"/>
    </xf>
    <xf numFmtId="0" fontId="2" fillId="11" borderId="0" xfId="2" applyFont="1" applyFill="1" applyBorder="1" applyAlignment="1">
      <alignment horizontal="left" vertical="center" wrapText="1"/>
    </xf>
    <xf numFmtId="0" fontId="14" fillId="15" borderId="4"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8" xfId="0" applyFont="1" applyFill="1" applyBorder="1" applyAlignment="1">
      <alignment horizontal="center" vertical="center" wrapText="1"/>
    </xf>
    <xf numFmtId="0" fontId="14" fillId="20" borderId="155" xfId="0" applyFont="1" applyFill="1" applyBorder="1" applyAlignment="1" applyProtection="1">
      <alignment horizontal="center" vertical="center" wrapText="1"/>
      <protection locked="0"/>
    </xf>
    <xf numFmtId="0" fontId="13" fillId="13" borderId="7"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3" fontId="14" fillId="20" borderId="34" xfId="0" applyNumberFormat="1" applyFont="1" applyFill="1" applyBorder="1" applyAlignment="1" applyProtection="1">
      <alignment horizontal="center" vertical="center" wrapText="1"/>
      <protection locked="0"/>
    </xf>
    <xf numFmtId="3" fontId="14" fillId="20" borderId="53" xfId="0" applyNumberFormat="1" applyFont="1" applyFill="1" applyBorder="1" applyAlignment="1" applyProtection="1">
      <alignment horizontal="center" vertical="center" wrapText="1"/>
      <protection locked="0"/>
    </xf>
    <xf numFmtId="3" fontId="14" fillId="20" borderId="156" xfId="0" applyNumberFormat="1" applyFont="1" applyFill="1" applyBorder="1" applyAlignment="1" applyProtection="1">
      <alignment horizontal="center" vertical="center" wrapText="1"/>
      <protection locked="0"/>
    </xf>
    <xf numFmtId="0" fontId="14" fillId="20" borderId="34" xfId="0" applyFont="1" applyFill="1" applyBorder="1" applyAlignment="1" applyProtection="1">
      <alignment horizontal="center" vertical="center" wrapText="1"/>
      <protection locked="0"/>
    </xf>
    <xf numFmtId="0" fontId="14" fillId="20" borderId="53" xfId="0" applyFont="1" applyFill="1" applyBorder="1" applyAlignment="1" applyProtection="1">
      <alignment horizontal="center" vertical="center" wrapText="1"/>
      <protection locked="0"/>
    </xf>
    <xf numFmtId="0" fontId="14" fillId="20" borderId="156" xfId="0" applyFont="1" applyFill="1" applyBorder="1" applyAlignment="1" applyProtection="1">
      <alignment horizontal="center" vertical="center" wrapText="1"/>
      <protection locked="0"/>
    </xf>
    <xf numFmtId="3" fontId="14" fillId="10" borderId="34" xfId="7" applyNumberFormat="1" applyFont="1" applyFill="1" applyBorder="1" applyAlignment="1" applyProtection="1">
      <alignment horizontal="center" vertical="center" wrapText="1"/>
      <protection hidden="1"/>
    </xf>
    <xf numFmtId="3" fontId="14" fillId="10" borderId="53" xfId="7" applyNumberFormat="1" applyFont="1" applyFill="1" applyBorder="1" applyAlignment="1" applyProtection="1">
      <alignment horizontal="center" vertical="center" wrapText="1"/>
      <protection hidden="1"/>
    </xf>
    <xf numFmtId="3" fontId="14" fillId="10" borderId="156" xfId="7" applyNumberFormat="1" applyFont="1" applyFill="1" applyBorder="1" applyAlignment="1" applyProtection="1">
      <alignment horizontal="center" vertical="center" wrapText="1"/>
      <protection hidden="1"/>
    </xf>
    <xf numFmtId="0" fontId="19" fillId="13" borderId="25" xfId="2" applyFont="1" applyFill="1" applyBorder="1" applyAlignment="1">
      <alignment horizontal="left" vertical="center" wrapText="1" indent="1"/>
    </xf>
    <xf numFmtId="0" fontId="19" fillId="13" borderId="26" xfId="2" applyFont="1" applyFill="1" applyBorder="1" applyAlignment="1">
      <alignment horizontal="left" vertical="center" wrapText="1" indent="1"/>
    </xf>
    <xf numFmtId="0" fontId="2" fillId="11" borderId="25" xfId="2" applyFont="1" applyFill="1" applyBorder="1" applyAlignment="1">
      <alignment horizontal="left" vertical="center" wrapText="1" indent="1"/>
    </xf>
    <xf numFmtId="0" fontId="2" fillId="11" borderId="26" xfId="2" applyFont="1" applyFill="1" applyBorder="1" applyAlignment="1">
      <alignment horizontal="left" vertical="center" wrapText="1" indent="1"/>
    </xf>
    <xf numFmtId="0" fontId="2" fillId="11" borderId="27" xfId="2" applyFont="1" applyFill="1" applyBorder="1" applyAlignment="1">
      <alignment horizontal="left" vertical="center" wrapText="1" indent="1"/>
    </xf>
    <xf numFmtId="0" fontId="10" fillId="13" borderId="0" xfId="0" applyFont="1" applyFill="1" applyBorder="1" applyAlignment="1" applyProtection="1">
      <alignment horizontal="left" vertical="center" indent="1"/>
      <protection hidden="1"/>
    </xf>
    <xf numFmtId="0" fontId="168" fillId="2" borderId="0" xfId="3" applyFont="1" applyFill="1" applyAlignment="1" applyProtection="1">
      <alignment horizontal="center" vertical="center"/>
      <protection hidden="1"/>
    </xf>
    <xf numFmtId="0" fontId="168" fillId="2" borderId="23" xfId="3" applyFont="1" applyFill="1" applyBorder="1" applyAlignment="1" applyProtection="1">
      <alignment horizontal="center" vertical="center"/>
      <protection hidden="1"/>
    </xf>
    <xf numFmtId="0" fontId="2" fillId="10" borderId="47" xfId="2" applyFill="1" applyBorder="1" applyAlignment="1">
      <alignment horizontal="left" indent="7"/>
    </xf>
    <xf numFmtId="0" fontId="2" fillId="10" borderId="46" xfId="2" applyFill="1" applyBorder="1" applyAlignment="1">
      <alignment horizontal="left" indent="7"/>
    </xf>
    <xf numFmtId="0" fontId="2" fillId="10" borderId="48" xfId="2" applyFill="1" applyBorder="1" applyAlignment="1">
      <alignment horizontal="left" indent="7"/>
    </xf>
    <xf numFmtId="0" fontId="2" fillId="10" borderId="49" xfId="2" applyFill="1" applyBorder="1" applyAlignment="1">
      <alignment horizontal="left" indent="8"/>
    </xf>
    <xf numFmtId="0" fontId="2" fillId="10" borderId="0" xfId="2" applyFill="1" applyBorder="1" applyAlignment="1">
      <alignment horizontal="left" indent="8"/>
    </xf>
    <xf numFmtId="0" fontId="2" fillId="10" borderId="50" xfId="2" applyFill="1" applyBorder="1" applyAlignment="1">
      <alignment horizontal="left" indent="8"/>
    </xf>
    <xf numFmtId="0" fontId="39" fillId="26" borderId="10" xfId="0" applyFont="1" applyFill="1" applyBorder="1" applyAlignment="1">
      <alignment horizontal="center" vertical="center" wrapText="1"/>
    </xf>
    <xf numFmtId="0" fontId="39" fillId="26" borderId="8" xfId="0" applyFont="1" applyFill="1" applyBorder="1" applyAlignment="1">
      <alignment horizontal="center" vertical="center" wrapText="1"/>
    </xf>
    <xf numFmtId="0" fontId="20" fillId="2" borderId="3" xfId="2" applyFont="1" applyFill="1" applyBorder="1" applyAlignment="1" applyProtection="1">
      <alignment horizontal="center" vertical="center"/>
      <protection hidden="1"/>
    </xf>
    <xf numFmtId="0" fontId="39" fillId="26" borderId="7" xfId="0" applyFont="1" applyFill="1" applyBorder="1" applyAlignment="1">
      <alignment horizontal="center" vertical="center" wrapText="1"/>
    </xf>
    <xf numFmtId="0" fontId="16" fillId="13" borderId="4" xfId="0" applyFont="1" applyFill="1" applyBorder="1" applyAlignment="1" applyProtection="1">
      <alignment horizontal="center" vertical="center"/>
      <protection hidden="1"/>
    </xf>
    <xf numFmtId="0" fontId="13" fillId="13" borderId="10"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left" vertical="center" indent="1"/>
      <protection hidden="1"/>
    </xf>
    <xf numFmtId="0" fontId="2" fillId="10" borderId="51" xfId="2" applyFill="1" applyBorder="1" applyAlignment="1">
      <alignment horizontal="left" indent="8"/>
    </xf>
    <xf numFmtId="0" fontId="2" fillId="10" borderId="6" xfId="2" applyFill="1" applyBorder="1" applyAlignment="1">
      <alignment horizontal="left" indent="8"/>
    </xf>
    <xf numFmtId="0" fontId="2" fillId="10" borderId="52" xfId="2" applyFill="1" applyBorder="1" applyAlignment="1">
      <alignment horizontal="left" indent="8"/>
    </xf>
    <xf numFmtId="0" fontId="0" fillId="0" borderId="0" xfId="0" applyAlignment="1">
      <alignment horizontal="center"/>
    </xf>
    <xf numFmtId="0" fontId="0" fillId="0" borderId="0" xfId="0" applyAlignment="1">
      <alignment horizontal="center" vertical="center"/>
    </xf>
    <xf numFmtId="3" fontId="8" fillId="4" borderId="4" xfId="1" applyNumberFormat="1" applyFont="1" applyFill="1" applyBorder="1" applyAlignment="1">
      <alignment horizontal="center" vertical="center" wrapText="1"/>
    </xf>
    <xf numFmtId="165" fontId="8" fillId="4" borderId="4" xfId="1" applyNumberFormat="1" applyFont="1" applyFill="1" applyBorder="1" applyAlignment="1">
      <alignment horizontal="center" vertical="center" wrapText="1"/>
    </xf>
    <xf numFmtId="0" fontId="2" fillId="10" borderId="132" xfId="2" applyFill="1" applyBorder="1" applyAlignment="1">
      <alignment horizontal="left" indent="6"/>
    </xf>
    <xf numFmtId="0" fontId="2" fillId="10" borderId="46" xfId="2" applyFill="1" applyBorder="1" applyAlignment="1">
      <alignment horizontal="left" indent="6"/>
    </xf>
    <xf numFmtId="0" fontId="2" fillId="10" borderId="49" xfId="2" applyFill="1" applyBorder="1" applyAlignment="1">
      <alignment horizontal="left" indent="9"/>
    </xf>
    <xf numFmtId="0" fontId="2" fillId="10" borderId="0" xfId="2" applyFill="1" applyBorder="1" applyAlignment="1">
      <alignment horizontal="left" indent="9"/>
    </xf>
    <xf numFmtId="0" fontId="2" fillId="10" borderId="50" xfId="2" applyFill="1" applyBorder="1" applyAlignment="1">
      <alignment horizontal="left" indent="9"/>
    </xf>
    <xf numFmtId="0" fontId="2" fillId="10" borderId="51" xfId="2" applyFill="1" applyBorder="1" applyAlignment="1">
      <alignment horizontal="left" indent="9"/>
    </xf>
    <xf numFmtId="0" fontId="2" fillId="10" borderId="6" xfId="2" applyFill="1" applyBorder="1" applyAlignment="1">
      <alignment horizontal="left" indent="9"/>
    </xf>
    <xf numFmtId="0" fontId="2" fillId="10" borderId="52" xfId="2" applyFill="1" applyBorder="1" applyAlignment="1">
      <alignment horizontal="left" indent="9"/>
    </xf>
    <xf numFmtId="0" fontId="48" fillId="29" borderId="0" xfId="2" applyFont="1" applyFill="1" applyAlignment="1">
      <alignment horizontal="left" vertical="center" wrapText="1"/>
    </xf>
    <xf numFmtId="0" fontId="49" fillId="29" borderId="29" xfId="0" applyFont="1" applyFill="1" applyBorder="1" applyAlignment="1" applyProtection="1">
      <alignment horizontal="left" vertical="center" indent="1"/>
      <protection hidden="1"/>
    </xf>
    <xf numFmtId="0" fontId="49" fillId="29" borderId="31" xfId="0" applyFont="1" applyFill="1" applyBorder="1" applyAlignment="1" applyProtection="1">
      <alignment horizontal="left" vertical="center" indent="1"/>
      <protection hidden="1"/>
    </xf>
    <xf numFmtId="0" fontId="49" fillId="29" borderId="32" xfId="0" applyFont="1" applyFill="1" applyBorder="1" applyAlignment="1" applyProtection="1">
      <alignment horizontal="left" vertical="center" indent="1"/>
      <protection hidden="1"/>
    </xf>
    <xf numFmtId="0" fontId="49" fillId="29" borderId="33" xfId="0" applyFont="1" applyFill="1" applyBorder="1" applyAlignment="1" applyProtection="1">
      <alignment horizontal="left" vertical="center" indent="1"/>
      <protection hidden="1"/>
    </xf>
    <xf numFmtId="0" fontId="49" fillId="29" borderId="4" xfId="0" applyFont="1" applyFill="1" applyBorder="1" applyAlignment="1" applyProtection="1">
      <alignment horizontal="center" vertical="center" wrapText="1"/>
      <protection hidden="1"/>
    </xf>
    <xf numFmtId="0" fontId="5" fillId="29" borderId="0" xfId="2" applyFont="1" applyFill="1" applyAlignment="1" applyProtection="1">
      <alignment horizontal="left" vertical="top" wrapText="1"/>
      <protection hidden="1"/>
    </xf>
    <xf numFmtId="0" fontId="103" fillId="10" borderId="10" xfId="3" applyFont="1" applyFill="1" applyBorder="1" applyAlignment="1">
      <alignment horizontal="left" vertical="center" indent="1"/>
    </xf>
    <xf numFmtId="0" fontId="103" fillId="10" borderId="8" xfId="3" applyFont="1" applyFill="1" applyBorder="1" applyAlignment="1">
      <alignment horizontal="left" vertical="center" indent="1"/>
    </xf>
    <xf numFmtId="0" fontId="102" fillId="2" borderId="0" xfId="3" applyFont="1" applyFill="1" applyAlignment="1" applyProtection="1">
      <alignment horizontal="center" vertical="center" wrapText="1"/>
      <protection hidden="1"/>
    </xf>
    <xf numFmtId="9" fontId="14" fillId="20" borderId="4" xfId="1" applyFont="1" applyFill="1" applyBorder="1" applyAlignment="1" applyProtection="1">
      <alignment horizontal="center" vertical="center"/>
      <protection locked="0"/>
    </xf>
    <xf numFmtId="9" fontId="14" fillId="20" borderId="4" xfId="1" applyFont="1" applyFill="1" applyBorder="1" applyAlignment="1" applyProtection="1">
      <alignment horizontal="center"/>
      <protection locked="0"/>
    </xf>
    <xf numFmtId="0" fontId="11" fillId="29" borderId="7" xfId="6" applyFont="1" applyFill="1" applyBorder="1" applyAlignment="1">
      <alignment horizontal="center" vertical="center"/>
    </xf>
    <xf numFmtId="0" fontId="2" fillId="10" borderId="39" xfId="2" applyFont="1" applyFill="1" applyBorder="1" applyAlignment="1" applyProtection="1">
      <alignment horizontal="left" indent="6"/>
      <protection hidden="1"/>
    </xf>
    <xf numFmtId="0" fontId="2" fillId="10" borderId="0" xfId="2" applyFont="1" applyFill="1" applyBorder="1" applyAlignment="1" applyProtection="1">
      <alignment horizontal="left" indent="6"/>
      <protection hidden="1"/>
    </xf>
    <xf numFmtId="0" fontId="2" fillId="10" borderId="40" xfId="2" applyFont="1" applyFill="1" applyBorder="1" applyAlignment="1" applyProtection="1">
      <alignment horizontal="left" indent="6"/>
      <protection hidden="1"/>
    </xf>
    <xf numFmtId="0" fontId="2" fillId="10" borderId="22" xfId="2" applyFont="1" applyFill="1" applyBorder="1" applyAlignment="1" applyProtection="1">
      <alignment horizontal="left" indent="6"/>
      <protection hidden="1"/>
    </xf>
    <xf numFmtId="0" fontId="2" fillId="10" borderId="23" xfId="2" applyFont="1" applyFill="1" applyBorder="1" applyAlignment="1" applyProtection="1">
      <alignment horizontal="left" indent="6"/>
      <protection hidden="1"/>
    </xf>
    <xf numFmtId="0" fontId="2" fillId="10" borderId="24" xfId="2" applyFont="1" applyFill="1" applyBorder="1" applyAlignment="1" applyProtection="1">
      <alignment horizontal="left" indent="6"/>
      <protection hidden="1"/>
    </xf>
    <xf numFmtId="0" fontId="13" fillId="29" borderId="7" xfId="0" applyFont="1" applyFill="1" applyBorder="1" applyAlignment="1" applyProtection="1">
      <alignment horizontal="center" vertical="center"/>
      <protection hidden="1"/>
    </xf>
    <xf numFmtId="0" fontId="13" fillId="29" borderId="8" xfId="0" applyFont="1" applyFill="1" applyBorder="1" applyAlignment="1" applyProtection="1">
      <alignment horizontal="center" vertical="center"/>
      <protection hidden="1"/>
    </xf>
    <xf numFmtId="0" fontId="38" fillId="29" borderId="0" xfId="0" applyFont="1" applyFill="1" applyBorder="1" applyAlignment="1" applyProtection="1">
      <alignment horizontal="left" vertical="center" indent="1"/>
      <protection hidden="1"/>
    </xf>
    <xf numFmtId="0" fontId="2" fillId="11" borderId="2" xfId="2" applyFont="1" applyFill="1" applyBorder="1" applyAlignment="1" applyProtection="1">
      <alignment horizontal="left" vertical="center" wrapText="1" indent="1"/>
      <protection hidden="1"/>
    </xf>
    <xf numFmtId="0" fontId="2" fillId="4" borderId="10"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8" fillId="18" borderId="27" xfId="2" applyFont="1" applyFill="1" applyBorder="1" applyAlignment="1" applyProtection="1">
      <alignment horizontal="center" vertical="center"/>
      <protection hidden="1"/>
    </xf>
    <xf numFmtId="0" fontId="8" fillId="20" borderId="2" xfId="2" applyFont="1" applyFill="1" applyBorder="1" applyAlignment="1" applyProtection="1">
      <alignment horizontal="center" vertical="center"/>
      <protection locked="0"/>
    </xf>
    <xf numFmtId="0" fontId="2" fillId="10" borderId="39" xfId="2" applyFill="1" applyBorder="1" applyAlignment="1" applyProtection="1">
      <alignment horizontal="left" vertical="center" wrapText="1" indent="8"/>
      <protection hidden="1"/>
    </xf>
    <xf numFmtId="0" fontId="2" fillId="10" borderId="0" xfId="2" applyFill="1" applyBorder="1" applyAlignment="1" applyProtection="1">
      <alignment horizontal="left" vertical="center" wrapText="1" indent="8"/>
      <protection hidden="1"/>
    </xf>
    <xf numFmtId="0" fontId="2" fillId="10" borderId="40" xfId="2" applyFill="1" applyBorder="1" applyAlignment="1" applyProtection="1">
      <alignment horizontal="left" vertical="center" wrapText="1" indent="8"/>
      <protection hidden="1"/>
    </xf>
    <xf numFmtId="9" fontId="14" fillId="20" borderId="28" xfId="1" applyFont="1" applyFill="1" applyBorder="1" applyAlignment="1" applyProtection="1">
      <alignment horizontal="center"/>
      <protection locked="0"/>
    </xf>
    <xf numFmtId="0" fontId="11" fillId="29" borderId="67" xfId="6" applyFont="1" applyFill="1" applyBorder="1" applyAlignment="1">
      <alignment horizontal="center"/>
    </xf>
    <xf numFmtId="0" fontId="11" fillId="29" borderId="68" xfId="6" applyFont="1" applyFill="1" applyBorder="1" applyAlignment="1">
      <alignment horizontal="center"/>
    </xf>
    <xf numFmtId="0" fontId="11" fillId="29" borderId="4" xfId="6" applyFont="1" applyFill="1" applyBorder="1" applyAlignment="1">
      <alignment horizontal="left" vertical="center" indent="1"/>
    </xf>
    <xf numFmtId="0" fontId="16" fillId="29" borderId="4" xfId="6" applyFont="1" applyFill="1" applyBorder="1" applyAlignment="1">
      <alignment horizontal="center" vertical="center"/>
    </xf>
    <xf numFmtId="0" fontId="10" fillId="29" borderId="0" xfId="0" applyFont="1" applyFill="1" applyBorder="1" applyAlignment="1" applyProtection="1">
      <alignment horizontal="left" vertical="center" indent="1"/>
      <protection hidden="1"/>
    </xf>
    <xf numFmtId="0" fontId="11" fillId="29" borderId="10" xfId="6" applyFont="1" applyFill="1" applyBorder="1" applyAlignment="1">
      <alignment horizontal="center" vertical="center"/>
    </xf>
    <xf numFmtId="0" fontId="9" fillId="29" borderId="0" xfId="0" applyFont="1" applyFill="1" applyBorder="1" applyAlignment="1" applyProtection="1">
      <alignment horizontal="left" vertical="center" indent="1"/>
      <protection hidden="1"/>
    </xf>
    <xf numFmtId="0" fontId="13" fillId="29" borderId="10" xfId="0" applyFont="1" applyFill="1" applyBorder="1" applyAlignment="1" applyProtection="1">
      <alignment horizontal="left" vertical="center" indent="1"/>
      <protection hidden="1"/>
    </xf>
    <xf numFmtId="0" fontId="13" fillId="29" borderId="7" xfId="0" applyFont="1" applyFill="1" applyBorder="1" applyAlignment="1" applyProtection="1">
      <alignment horizontal="left" vertical="center" indent="1"/>
      <protection hidden="1"/>
    </xf>
    <xf numFmtId="0" fontId="13" fillId="29" borderId="10" xfId="0" applyFont="1" applyFill="1" applyBorder="1" applyAlignment="1" applyProtection="1">
      <alignment horizontal="center" vertical="center"/>
      <protection hidden="1"/>
    </xf>
    <xf numFmtId="0" fontId="19" fillId="29" borderId="67" xfId="6" applyFont="1" applyFill="1" applyBorder="1" applyAlignment="1" applyProtection="1">
      <alignment horizontal="center" vertical="center"/>
      <protection hidden="1"/>
    </xf>
    <xf numFmtId="0" fontId="19" fillId="29" borderId="68" xfId="6" applyFont="1" applyFill="1" applyBorder="1" applyAlignment="1" applyProtection="1">
      <alignment horizontal="center" vertical="center"/>
      <protection hidden="1"/>
    </xf>
    <xf numFmtId="0" fontId="2" fillId="4" borderId="4" xfId="0" applyFont="1" applyFill="1" applyBorder="1" applyAlignment="1" applyProtection="1">
      <alignment horizontal="left" vertical="center" wrapText="1"/>
      <protection hidden="1"/>
    </xf>
    <xf numFmtId="0" fontId="2" fillId="22" borderId="35" xfId="2" applyFill="1" applyBorder="1" applyAlignment="1" applyProtection="1">
      <alignment horizontal="right" vertical="center" indent="1"/>
      <protection hidden="1"/>
    </xf>
    <xf numFmtId="0" fontId="2" fillId="22" borderId="20" xfId="2" applyFill="1" applyBorder="1" applyAlignment="1" applyProtection="1">
      <alignment horizontal="right" vertical="center" indent="1"/>
      <protection hidden="1"/>
    </xf>
    <xf numFmtId="0" fontId="19" fillId="29" borderId="36" xfId="2" applyFont="1" applyFill="1" applyBorder="1" applyAlignment="1" applyProtection="1">
      <alignment horizontal="left" vertical="center" wrapText="1" indent="1"/>
      <protection hidden="1"/>
    </xf>
    <xf numFmtId="0" fontId="19" fillId="29" borderId="37" xfId="2" applyFont="1" applyFill="1" applyBorder="1" applyAlignment="1" applyProtection="1">
      <alignment horizontal="left" vertical="center" wrapText="1" indent="1"/>
      <protection hidden="1"/>
    </xf>
    <xf numFmtId="0" fontId="2" fillId="10" borderId="22" xfId="2" applyFill="1" applyBorder="1" applyAlignment="1" applyProtection="1">
      <alignment horizontal="left" vertical="center" wrapText="1" indent="8"/>
      <protection hidden="1"/>
    </xf>
    <xf numFmtId="0" fontId="2" fillId="10" borderId="23" xfId="2" applyFill="1" applyBorder="1" applyAlignment="1" applyProtection="1">
      <alignment horizontal="left" vertical="center" wrapText="1" indent="8"/>
      <protection hidden="1"/>
    </xf>
    <xf numFmtId="0" fontId="2" fillId="10" borderId="24" xfId="2" applyFill="1" applyBorder="1" applyAlignment="1" applyProtection="1">
      <alignment horizontal="left" vertical="center" wrapText="1" indent="8"/>
      <protection hidden="1"/>
    </xf>
    <xf numFmtId="0" fontId="2" fillId="10" borderId="47" xfId="2" applyFont="1" applyFill="1" applyBorder="1" applyAlignment="1" applyProtection="1">
      <alignment horizontal="left" vertical="center" indent="6"/>
      <protection hidden="1"/>
    </xf>
    <xf numFmtId="0" fontId="2" fillId="10" borderId="46" xfId="2" applyFont="1" applyFill="1" applyBorder="1" applyAlignment="1" applyProtection="1">
      <alignment horizontal="left" vertical="center" indent="6"/>
      <protection hidden="1"/>
    </xf>
    <xf numFmtId="0" fontId="2" fillId="10" borderId="48" xfId="2" applyFont="1" applyFill="1" applyBorder="1" applyAlignment="1" applyProtection="1">
      <alignment horizontal="left" vertical="center" indent="6"/>
      <protection hidden="1"/>
    </xf>
    <xf numFmtId="0" fontId="2" fillId="10" borderId="49" xfId="2" applyFont="1" applyFill="1" applyBorder="1" applyAlignment="1" applyProtection="1">
      <alignment horizontal="left" vertical="center" indent="6"/>
      <protection hidden="1"/>
    </xf>
    <xf numFmtId="0" fontId="2" fillId="10" borderId="50" xfId="2" applyFont="1" applyFill="1" applyBorder="1" applyAlignment="1" applyProtection="1">
      <alignment horizontal="left" vertical="center" indent="6"/>
      <protection hidden="1"/>
    </xf>
    <xf numFmtId="0" fontId="2" fillId="10" borderId="51" xfId="2" applyFont="1" applyFill="1" applyBorder="1" applyAlignment="1" applyProtection="1">
      <alignment horizontal="left" vertical="center" indent="6"/>
      <protection hidden="1"/>
    </xf>
    <xf numFmtId="0" fontId="2" fillId="10" borderId="6" xfId="2" applyFont="1" applyFill="1" applyBorder="1" applyAlignment="1" applyProtection="1">
      <alignment horizontal="left" vertical="center" indent="6"/>
      <protection hidden="1"/>
    </xf>
    <xf numFmtId="0" fontId="2" fillId="10" borderId="52" xfId="2" applyFont="1" applyFill="1" applyBorder="1" applyAlignment="1" applyProtection="1">
      <alignment horizontal="left" vertical="center" indent="6"/>
      <protection hidden="1"/>
    </xf>
    <xf numFmtId="9" fontId="14" fillId="20" borderId="28" xfId="1" applyFont="1" applyFill="1" applyBorder="1" applyAlignment="1" applyProtection="1">
      <alignment horizontal="center" vertical="center"/>
      <protection locked="0"/>
    </xf>
    <xf numFmtId="0" fontId="2" fillId="4" borderId="96" xfId="0" applyFont="1" applyFill="1" applyBorder="1" applyAlignment="1" applyProtection="1">
      <alignment horizontal="left" vertical="center" wrapText="1"/>
      <protection hidden="1"/>
    </xf>
    <xf numFmtId="0" fontId="2" fillId="4" borderId="59" xfId="0" applyFont="1" applyFill="1" applyBorder="1" applyAlignment="1" applyProtection="1">
      <alignment horizontal="left" vertical="center" wrapText="1"/>
      <protection hidden="1"/>
    </xf>
    <xf numFmtId="0" fontId="2" fillId="4" borderId="97" xfId="0" applyFont="1" applyFill="1" applyBorder="1" applyAlignment="1" applyProtection="1">
      <alignment horizontal="left" vertical="center" wrapText="1"/>
      <protection hidden="1"/>
    </xf>
    <xf numFmtId="0" fontId="2" fillId="4" borderId="55" xfId="0" applyFont="1" applyFill="1" applyBorder="1" applyAlignment="1" applyProtection="1">
      <alignment horizontal="left" vertical="center" wrapText="1" indent="1"/>
      <protection hidden="1"/>
    </xf>
    <xf numFmtId="0" fontId="2" fillId="4" borderId="59" xfId="0" applyFont="1" applyFill="1" applyBorder="1" applyAlignment="1" applyProtection="1">
      <alignment horizontal="left" vertical="center" wrapText="1" indent="1"/>
      <protection hidden="1"/>
    </xf>
    <xf numFmtId="0" fontId="2" fillId="4" borderId="56" xfId="0" applyFont="1" applyFill="1" applyBorder="1" applyAlignment="1" applyProtection="1">
      <alignment horizontal="left" vertical="center" wrapText="1" indent="1"/>
      <protection hidden="1"/>
    </xf>
    <xf numFmtId="0" fontId="2" fillId="18" borderId="84" xfId="2" applyFont="1" applyFill="1" applyBorder="1" applyAlignment="1" applyProtection="1">
      <alignment horizontal="center"/>
      <protection hidden="1"/>
    </xf>
    <xf numFmtId="0" fontId="2" fillId="18" borderId="85" xfId="2" applyFont="1" applyFill="1" applyBorder="1" applyAlignment="1" applyProtection="1">
      <alignment horizontal="center"/>
      <protection hidden="1"/>
    </xf>
    <xf numFmtId="0" fontId="14" fillId="20" borderId="55" xfId="0" applyFont="1" applyFill="1" applyBorder="1" applyAlignment="1" applyProtection="1">
      <alignment horizontal="center" vertical="center" wrapText="1"/>
      <protection locked="0"/>
    </xf>
    <xf numFmtId="0" fontId="14" fillId="20" borderId="56" xfId="0" applyFont="1" applyFill="1" applyBorder="1" applyAlignment="1" applyProtection="1">
      <alignment horizontal="center" vertical="center" wrapText="1"/>
      <protection locked="0"/>
    </xf>
    <xf numFmtId="0" fontId="16" fillId="29" borderId="4" xfId="0" applyFont="1" applyFill="1" applyBorder="1" applyAlignment="1" applyProtection="1">
      <alignment horizontal="center" vertical="center"/>
      <protection hidden="1"/>
    </xf>
    <xf numFmtId="0" fontId="2" fillId="4" borderId="86" xfId="0" applyFont="1" applyFill="1" applyBorder="1" applyAlignment="1" applyProtection="1">
      <alignment horizontal="left" vertical="center" wrapText="1" indent="1"/>
      <protection hidden="1"/>
    </xf>
    <xf numFmtId="0" fontId="2" fillId="4" borderId="54" xfId="0" applyFont="1" applyFill="1" applyBorder="1" applyAlignment="1" applyProtection="1">
      <alignment horizontal="left" vertical="center" wrapText="1" indent="1"/>
      <protection hidden="1"/>
    </xf>
    <xf numFmtId="0" fontId="2" fillId="4" borderId="87" xfId="0" applyFont="1" applyFill="1" applyBorder="1" applyAlignment="1" applyProtection="1">
      <alignment horizontal="left" vertical="center" wrapText="1" indent="1"/>
      <protection hidden="1"/>
    </xf>
    <xf numFmtId="0" fontId="2" fillId="4" borderId="57" xfId="0" applyFont="1" applyFill="1" applyBorder="1" applyAlignment="1" applyProtection="1">
      <alignment horizontal="left" vertical="center" wrapText="1" indent="1"/>
      <protection hidden="1"/>
    </xf>
    <xf numFmtId="0" fontId="2" fillId="4" borderId="95" xfId="0" applyFont="1" applyFill="1" applyBorder="1" applyAlignment="1" applyProtection="1">
      <alignment horizontal="left" vertical="center" wrapText="1" indent="1"/>
      <protection hidden="1"/>
    </xf>
    <xf numFmtId="0" fontId="2" fillId="4" borderId="58" xfId="0" applyFont="1" applyFill="1" applyBorder="1" applyAlignment="1" applyProtection="1">
      <alignment horizontal="left" vertical="center" wrapText="1" indent="1"/>
      <protection hidden="1"/>
    </xf>
    <xf numFmtId="0" fontId="11" fillId="29" borderId="10" xfId="2" applyFont="1" applyFill="1" applyBorder="1" applyAlignment="1" applyProtection="1">
      <alignment horizontal="left" vertical="center" indent="1"/>
      <protection hidden="1"/>
    </xf>
    <xf numFmtId="0" fontId="11" fillId="29" borderId="7" xfId="2" applyFont="1" applyFill="1" applyBorder="1" applyAlignment="1" applyProtection="1">
      <alignment horizontal="left" vertical="center" indent="1"/>
      <protection hidden="1"/>
    </xf>
    <xf numFmtId="0" fontId="16" fillId="29" borderId="41" xfId="0" applyFont="1" applyFill="1" applyBorder="1" applyAlignment="1" applyProtection="1">
      <alignment horizontal="center" vertical="center"/>
      <protection hidden="1"/>
    </xf>
    <xf numFmtId="0" fontId="8" fillId="0" borderId="26" xfId="2" applyFont="1" applyFill="1" applyBorder="1" applyAlignment="1" applyProtection="1">
      <alignment horizontal="left" vertical="center" wrapText="1" indent="1"/>
      <protection hidden="1"/>
    </xf>
    <xf numFmtId="0" fontId="8" fillId="0" borderId="27" xfId="2" applyFont="1" applyFill="1" applyBorder="1" applyAlignment="1" applyProtection="1">
      <alignment horizontal="left" vertical="center" wrapText="1" indent="1"/>
      <protection hidden="1"/>
    </xf>
    <xf numFmtId="0" fontId="19" fillId="29" borderId="25" xfId="2" applyFont="1" applyFill="1" applyBorder="1" applyAlignment="1" applyProtection="1">
      <alignment horizontal="left" vertical="center" wrapText="1" indent="1"/>
      <protection hidden="1"/>
    </xf>
    <xf numFmtId="0" fontId="19" fillId="29" borderId="26" xfId="2" applyFont="1" applyFill="1" applyBorder="1" applyAlignment="1" applyProtection="1">
      <alignment horizontal="left" vertical="center" wrapText="1" indent="1"/>
      <protection hidden="1"/>
    </xf>
    <xf numFmtId="0" fontId="21" fillId="2" borderId="0" xfId="2" applyFont="1" applyFill="1" applyBorder="1" applyAlignment="1" applyProtection="1">
      <alignment horizontal="left" wrapText="1" indent="5"/>
      <protection hidden="1"/>
    </xf>
    <xf numFmtId="0" fontId="11" fillId="29" borderId="95" xfId="0" applyFont="1" applyFill="1" applyBorder="1" applyAlignment="1" applyProtection="1">
      <alignment horizontal="center" vertical="center" wrapText="1"/>
      <protection hidden="1"/>
    </xf>
    <xf numFmtId="0" fontId="2" fillId="4" borderId="90" xfId="0" applyFont="1" applyFill="1" applyBorder="1" applyAlignment="1" applyProtection="1">
      <alignment horizontal="left" vertical="center" wrapText="1" indent="1"/>
      <protection hidden="1"/>
    </xf>
    <xf numFmtId="0" fontId="11" fillId="29" borderId="7" xfId="0" applyFont="1" applyFill="1" applyBorder="1" applyAlignment="1" applyProtection="1">
      <alignment horizontal="center" vertical="center" wrapText="1"/>
      <protection hidden="1"/>
    </xf>
    <xf numFmtId="0" fontId="11" fillId="29" borderId="8" xfId="0" applyFont="1" applyFill="1" applyBorder="1" applyAlignment="1" applyProtection="1">
      <alignment horizontal="center" vertical="center" wrapText="1"/>
      <protection hidden="1"/>
    </xf>
    <xf numFmtId="0" fontId="11" fillId="29" borderId="58"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left" vertical="center" wrapText="1"/>
      <protection hidden="1"/>
    </xf>
    <xf numFmtId="0" fontId="16" fillId="29" borderId="41" xfId="0" applyFont="1" applyFill="1" applyBorder="1" applyAlignment="1" applyProtection="1">
      <alignment horizontal="center" vertical="center" wrapText="1"/>
      <protection hidden="1"/>
    </xf>
    <xf numFmtId="0" fontId="2" fillId="4" borderId="55" xfId="0" applyFont="1" applyFill="1" applyBorder="1" applyAlignment="1" applyProtection="1">
      <alignment horizontal="left" vertical="center" wrapText="1"/>
      <protection hidden="1"/>
    </xf>
    <xf numFmtId="0" fontId="2" fillId="20" borderId="4" xfId="0" applyFont="1" applyFill="1" applyBorder="1" applyAlignment="1" applyProtection="1">
      <alignment horizontal="left" vertical="center" wrapText="1" indent="1"/>
      <protection locked="0"/>
    </xf>
    <xf numFmtId="0" fontId="2" fillId="4" borderId="56" xfId="0" applyFont="1" applyFill="1" applyBorder="1" applyAlignment="1" applyProtection="1">
      <alignment horizontal="left" vertical="center" wrapText="1"/>
      <protection hidden="1"/>
    </xf>
    <xf numFmtId="0" fontId="2" fillId="4" borderId="41" xfId="0" applyFont="1" applyFill="1" applyBorder="1" applyAlignment="1" applyProtection="1">
      <alignment horizontal="left" vertical="center" wrapText="1"/>
      <protection hidden="1"/>
    </xf>
    <xf numFmtId="0" fontId="20" fillId="2" borderId="0" xfId="2" applyFont="1" applyFill="1" applyBorder="1" applyAlignment="1" applyProtection="1">
      <alignment horizontal="left" vertical="center" indent="9"/>
      <protection hidden="1"/>
    </xf>
    <xf numFmtId="0" fontId="14" fillId="20" borderId="0" xfId="0" applyNumberFormat="1" applyFont="1" applyFill="1" applyBorder="1" applyAlignment="1" applyProtection="1">
      <alignment horizontal="left" vertical="center" wrapText="1"/>
      <protection locked="0"/>
    </xf>
    <xf numFmtId="0" fontId="11" fillId="29" borderId="41" xfId="0" applyFont="1" applyFill="1" applyBorder="1" applyAlignment="1" applyProtection="1">
      <alignment horizontal="center" vertical="center"/>
      <protection hidden="1"/>
    </xf>
    <xf numFmtId="0" fontId="19" fillId="29" borderId="39" xfId="2" applyFont="1" applyFill="1" applyBorder="1" applyAlignment="1" applyProtection="1">
      <alignment horizontal="left" vertical="center" wrapText="1" indent="1"/>
      <protection hidden="1"/>
    </xf>
    <xf numFmtId="0" fontId="19" fillId="29" borderId="0" xfId="2" applyFont="1" applyFill="1" applyBorder="1" applyAlignment="1" applyProtection="1">
      <alignment horizontal="left" vertical="center" wrapText="1" indent="1"/>
      <protection hidden="1"/>
    </xf>
    <xf numFmtId="0" fontId="11" fillId="29" borderId="86" xfId="0" applyFont="1" applyFill="1" applyBorder="1" applyAlignment="1" applyProtection="1">
      <alignment horizontal="left" vertical="center" indent="1"/>
      <protection hidden="1"/>
    </xf>
    <xf numFmtId="0" fontId="11" fillId="29" borderId="54" xfId="0" applyFont="1" applyFill="1" applyBorder="1" applyAlignment="1" applyProtection="1">
      <alignment horizontal="left" vertical="center" indent="1"/>
      <protection hidden="1"/>
    </xf>
    <xf numFmtId="0" fontId="11" fillId="29" borderId="3" xfId="0" applyFont="1" applyFill="1" applyBorder="1" applyAlignment="1" applyProtection="1">
      <alignment horizontal="left" vertical="center" indent="1"/>
      <protection hidden="1"/>
    </xf>
    <xf numFmtId="0" fontId="49" fillId="6" borderId="4" xfId="0" applyFont="1" applyFill="1" applyBorder="1" applyAlignment="1" applyProtection="1">
      <alignment horizontal="center" vertical="center" wrapText="1"/>
      <protection hidden="1"/>
    </xf>
    <xf numFmtId="0" fontId="108" fillId="10" borderId="4" xfId="3" applyFont="1" applyFill="1" applyBorder="1" applyAlignment="1">
      <alignment horizontal="left" vertical="center" indent="1"/>
    </xf>
    <xf numFmtId="0" fontId="49" fillId="6" borderId="29" xfId="0" applyFont="1" applyFill="1" applyBorder="1" applyAlignment="1" applyProtection="1">
      <alignment horizontal="left" vertical="center" indent="1"/>
      <protection hidden="1"/>
    </xf>
    <xf numFmtId="0" fontId="49" fillId="6" borderId="31" xfId="0" applyFont="1" applyFill="1" applyBorder="1" applyAlignment="1" applyProtection="1">
      <alignment horizontal="left" vertical="center" indent="1"/>
      <protection hidden="1"/>
    </xf>
    <xf numFmtId="0" fontId="49" fillId="6" borderId="32" xfId="0" applyFont="1" applyFill="1" applyBorder="1" applyAlignment="1" applyProtection="1">
      <alignment horizontal="left" vertical="center" indent="1"/>
      <protection hidden="1"/>
    </xf>
    <xf numFmtId="0" fontId="49" fillId="6" borderId="33" xfId="0" applyFont="1" applyFill="1" applyBorder="1" applyAlignment="1" applyProtection="1">
      <alignment horizontal="left" vertical="center" indent="1"/>
      <protection hidden="1"/>
    </xf>
    <xf numFmtId="0" fontId="5" fillId="6" borderId="0" xfId="2" applyFont="1" applyFill="1" applyBorder="1" applyAlignment="1" applyProtection="1">
      <alignment horizontal="left" vertical="top" wrapText="1"/>
      <protection hidden="1"/>
    </xf>
    <xf numFmtId="0" fontId="48" fillId="6" borderId="30" xfId="2" applyFont="1" applyFill="1" applyBorder="1" applyAlignment="1">
      <alignment horizontal="left" vertical="center" wrapText="1"/>
    </xf>
    <xf numFmtId="0" fontId="48" fillId="6" borderId="0" xfId="2" applyFont="1" applyFill="1" applyBorder="1" applyAlignment="1">
      <alignment horizontal="left" vertical="center" wrapText="1"/>
    </xf>
    <xf numFmtId="0" fontId="10" fillId="6" borderId="0"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7" xfId="0" applyFont="1" applyFill="1" applyBorder="1" applyAlignment="1" applyProtection="1">
      <alignment horizontal="center" vertical="center"/>
      <protection hidden="1"/>
    </xf>
    <xf numFmtId="0" fontId="2" fillId="2" borderId="7" xfId="2" applyFill="1" applyBorder="1" applyAlignment="1" applyProtection="1">
      <alignment horizontal="left" indent="1"/>
      <protection hidden="1"/>
    </xf>
    <xf numFmtId="0" fontId="19" fillId="6" borderId="25" xfId="2" applyFont="1" applyFill="1" applyBorder="1" applyAlignment="1" applyProtection="1">
      <alignment horizontal="left" vertical="center" wrapText="1" indent="1"/>
      <protection hidden="1"/>
    </xf>
    <xf numFmtId="0" fontId="19" fillId="6" borderId="26" xfId="2" applyFont="1" applyFill="1" applyBorder="1" applyAlignment="1" applyProtection="1">
      <alignment horizontal="left" vertical="center" wrapText="1" indent="1"/>
      <protection hidden="1"/>
    </xf>
    <xf numFmtId="0" fontId="21" fillId="22" borderId="22" xfId="2" applyFont="1" applyFill="1" applyBorder="1" applyAlignment="1" applyProtection="1">
      <alignment horizontal="left" vertical="center" wrapText="1" indent="1"/>
      <protection hidden="1"/>
    </xf>
    <xf numFmtId="0" fontId="21" fillId="22" borderId="23" xfId="2" applyFont="1" applyFill="1" applyBorder="1" applyAlignment="1" applyProtection="1">
      <alignment horizontal="left" vertical="center" wrapText="1" indent="1"/>
      <protection hidden="1"/>
    </xf>
    <xf numFmtId="0" fontId="21" fillId="22" borderId="24" xfId="2" applyFont="1" applyFill="1" applyBorder="1" applyAlignment="1" applyProtection="1">
      <alignment horizontal="left" vertical="center" wrapText="1" indent="1"/>
      <protection hidden="1"/>
    </xf>
    <xf numFmtId="0" fontId="16" fillId="6" borderId="4" xfId="0" applyFont="1" applyFill="1" applyBorder="1" applyAlignment="1" applyProtection="1">
      <alignment horizontal="center" vertical="center"/>
      <protection hidden="1"/>
    </xf>
    <xf numFmtId="167" fontId="14" fillId="10" borderId="41" xfId="0" applyNumberFormat="1" applyFont="1" applyFill="1" applyBorder="1" applyAlignment="1" applyProtection="1">
      <alignment horizontal="center" vertical="center" wrapText="1"/>
      <protection hidden="1"/>
    </xf>
    <xf numFmtId="0" fontId="9" fillId="6" borderId="0" xfId="0" applyFont="1" applyFill="1" applyBorder="1" applyAlignment="1" applyProtection="1">
      <alignment horizontal="left" vertical="center" indent="1"/>
      <protection hidden="1"/>
    </xf>
    <xf numFmtId="0" fontId="2" fillId="11" borderId="22" xfId="2" applyFont="1" applyFill="1" applyBorder="1" applyAlignment="1" applyProtection="1">
      <alignment horizontal="left" vertical="center" wrapText="1" indent="1"/>
      <protection hidden="1"/>
    </xf>
    <xf numFmtId="0" fontId="2" fillId="11" borderId="23" xfId="2" applyFont="1" applyFill="1" applyBorder="1" applyAlignment="1" applyProtection="1">
      <alignment horizontal="left" vertical="center" wrapText="1" indent="1"/>
      <protection hidden="1"/>
    </xf>
    <xf numFmtId="0" fontId="2" fillId="11" borderId="24" xfId="2" applyFont="1" applyFill="1" applyBorder="1" applyAlignment="1" applyProtection="1">
      <alignment horizontal="left" vertical="center" wrapText="1" indent="1"/>
      <protection hidden="1"/>
    </xf>
    <xf numFmtId="0" fontId="2" fillId="2" borderId="0" xfId="2" applyFont="1" applyFill="1" applyBorder="1" applyAlignment="1" applyProtection="1">
      <alignment horizontal="left" vertical="center" wrapText="1"/>
      <protection hidden="1"/>
    </xf>
    <xf numFmtId="0" fontId="13" fillId="6" borderId="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2" fillId="10" borderId="39" xfId="2" applyFont="1" applyFill="1" applyBorder="1" applyAlignment="1" applyProtection="1">
      <alignment horizontal="left" vertical="center" wrapText="1" indent="8"/>
      <protection hidden="1"/>
    </xf>
    <xf numFmtId="0" fontId="2" fillId="10" borderId="0" xfId="2" applyFont="1" applyFill="1" applyBorder="1" applyAlignment="1" applyProtection="1">
      <alignment horizontal="left" vertical="center" wrapText="1" indent="8"/>
      <protection hidden="1"/>
    </xf>
    <xf numFmtId="0" fontId="2" fillId="10" borderId="40" xfId="2" applyFont="1" applyFill="1" applyBorder="1" applyAlignment="1" applyProtection="1">
      <alignment horizontal="left" vertical="center" wrapText="1" indent="8"/>
      <protection hidden="1"/>
    </xf>
    <xf numFmtId="0" fontId="13" fillId="6" borderId="8" xfId="0" applyFont="1" applyFill="1" applyBorder="1" applyAlignment="1" applyProtection="1">
      <alignment horizontal="center" vertical="center" wrapText="1"/>
      <protection hidden="1"/>
    </xf>
    <xf numFmtId="0" fontId="38" fillId="6" borderId="0" xfId="0" applyFont="1" applyFill="1" applyBorder="1" applyAlignment="1" applyProtection="1">
      <alignment horizontal="left" vertical="center" indent="1"/>
      <protection hidden="1"/>
    </xf>
    <xf numFmtId="0" fontId="2" fillId="10" borderId="47" xfId="2" applyFont="1" applyFill="1" applyBorder="1" applyAlignment="1" applyProtection="1">
      <alignment horizontal="left" indent="6"/>
      <protection hidden="1"/>
    </xf>
    <xf numFmtId="0" fontId="2" fillId="10" borderId="46" xfId="2" applyFont="1" applyFill="1" applyBorder="1" applyAlignment="1" applyProtection="1">
      <alignment horizontal="left" indent="6"/>
      <protection hidden="1"/>
    </xf>
    <xf numFmtId="0" fontId="2" fillId="10" borderId="48" xfId="2" applyFont="1" applyFill="1" applyBorder="1" applyAlignment="1" applyProtection="1">
      <alignment horizontal="left" indent="6"/>
      <protection hidden="1"/>
    </xf>
    <xf numFmtId="0" fontId="2" fillId="10" borderId="49" xfId="0" applyFont="1" applyFill="1" applyBorder="1" applyAlignment="1" applyProtection="1">
      <alignment horizontal="left" vertical="center" indent="7"/>
      <protection hidden="1"/>
    </xf>
    <xf numFmtId="0" fontId="2" fillId="10" borderId="0" xfId="0" applyFont="1" applyFill="1" applyBorder="1" applyAlignment="1" applyProtection="1">
      <alignment horizontal="left" vertical="center" indent="7"/>
      <protection hidden="1"/>
    </xf>
    <xf numFmtId="0" fontId="2" fillId="10" borderId="50" xfId="0" applyFont="1" applyFill="1" applyBorder="1" applyAlignment="1" applyProtection="1">
      <alignment horizontal="left" vertical="center" indent="7"/>
      <protection hidden="1"/>
    </xf>
    <xf numFmtId="0" fontId="2" fillId="10" borderId="49" xfId="0" applyFont="1" applyFill="1" applyBorder="1" applyAlignment="1" applyProtection="1">
      <alignment horizontal="left" vertical="center" wrapText="1" indent="7"/>
      <protection hidden="1"/>
    </xf>
    <xf numFmtId="0" fontId="2" fillId="10" borderId="0" xfId="0" applyFont="1" applyFill="1" applyBorder="1" applyAlignment="1" applyProtection="1">
      <alignment horizontal="left" vertical="center" wrapText="1" indent="7"/>
      <protection hidden="1"/>
    </xf>
    <xf numFmtId="0" fontId="2" fillId="10" borderId="50" xfId="0" applyFont="1" applyFill="1" applyBorder="1" applyAlignment="1" applyProtection="1">
      <alignment horizontal="left" vertical="center" wrapText="1" indent="7"/>
      <protection hidden="1"/>
    </xf>
    <xf numFmtId="0" fontId="2" fillId="10" borderId="51" xfId="0" applyFont="1" applyFill="1" applyBorder="1" applyAlignment="1" applyProtection="1">
      <alignment horizontal="left" vertical="center" indent="7"/>
      <protection hidden="1"/>
    </xf>
    <xf numFmtId="0" fontId="2" fillId="10" borderId="6" xfId="0" applyFont="1" applyFill="1" applyBorder="1" applyAlignment="1" applyProtection="1">
      <alignment horizontal="left" vertical="center" indent="7"/>
      <protection hidden="1"/>
    </xf>
    <xf numFmtId="0" fontId="2" fillId="10" borderId="52" xfId="0" applyFont="1" applyFill="1" applyBorder="1" applyAlignment="1" applyProtection="1">
      <alignment horizontal="left" vertical="center" indent="7"/>
      <protection hidden="1"/>
    </xf>
    <xf numFmtId="0" fontId="16" fillId="6" borderId="10" xfId="0" applyFont="1" applyFill="1" applyBorder="1" applyAlignment="1" applyProtection="1">
      <alignment horizontal="center" vertical="center"/>
      <protection hidden="1"/>
    </xf>
    <xf numFmtId="0" fontId="16" fillId="6" borderId="7" xfId="0" applyFont="1" applyFill="1" applyBorder="1" applyAlignment="1" applyProtection="1">
      <alignment horizontal="center" vertical="center"/>
      <protection hidden="1"/>
    </xf>
    <xf numFmtId="0" fontId="16" fillId="6" borderId="8" xfId="0" applyFont="1" applyFill="1" applyBorder="1" applyAlignment="1" applyProtection="1">
      <alignment horizontal="center" vertical="center"/>
      <protection hidden="1"/>
    </xf>
    <xf numFmtId="0" fontId="11" fillId="6" borderId="10" xfId="0" applyFont="1" applyFill="1" applyBorder="1" applyAlignment="1" applyProtection="1">
      <alignment horizontal="center" vertical="center"/>
      <protection hidden="1"/>
    </xf>
    <xf numFmtId="0" fontId="11" fillId="6" borderId="7" xfId="0" applyFont="1" applyFill="1" applyBorder="1" applyAlignment="1" applyProtection="1">
      <alignment horizontal="center" vertical="center"/>
      <protection hidden="1"/>
    </xf>
    <xf numFmtId="0" fontId="11" fillId="6" borderId="8" xfId="0" applyFont="1" applyFill="1" applyBorder="1" applyAlignment="1" applyProtection="1">
      <alignment horizontal="center" vertical="center"/>
      <protection hidden="1"/>
    </xf>
    <xf numFmtId="0" fontId="20" fillId="27" borderId="0" xfId="0" applyFont="1" applyFill="1" applyBorder="1" applyAlignment="1" applyProtection="1">
      <alignment horizontal="left" vertical="center" wrapText="1" indent="6"/>
      <protection hidden="1"/>
    </xf>
    <xf numFmtId="0" fontId="11" fillId="6" borderId="4" xfId="0" applyFont="1" applyFill="1" applyBorder="1" applyAlignment="1" applyProtection="1">
      <alignment horizontal="center" vertical="center"/>
      <protection hidden="1"/>
    </xf>
    <xf numFmtId="0" fontId="13" fillId="6" borderId="8" xfId="0" applyFont="1" applyFill="1" applyBorder="1" applyAlignment="1" applyProtection="1">
      <alignment horizontal="center" vertical="center"/>
      <protection hidden="1"/>
    </xf>
    <xf numFmtId="0" fontId="2" fillId="18" borderId="25" xfId="2" applyFont="1" applyFill="1" applyBorder="1" applyAlignment="1" applyProtection="1">
      <alignment horizontal="center" vertical="center"/>
      <protection hidden="1"/>
    </xf>
    <xf numFmtId="0" fontId="2" fillId="18" borderId="27" xfId="2" applyFont="1" applyFill="1" applyBorder="1" applyAlignment="1" applyProtection="1">
      <alignment horizontal="center" vertical="center"/>
      <protection hidden="1"/>
    </xf>
    <xf numFmtId="0" fontId="8" fillId="18" borderId="25" xfId="2" applyFont="1" applyFill="1" applyBorder="1" applyAlignment="1" applyProtection="1">
      <alignment horizontal="center"/>
      <protection hidden="1"/>
    </xf>
    <xf numFmtId="0" fontId="8" fillId="18" borderId="27" xfId="2" applyFont="1" applyFill="1" applyBorder="1" applyAlignment="1" applyProtection="1">
      <alignment horizontal="center"/>
      <protection hidden="1"/>
    </xf>
    <xf numFmtId="0" fontId="8" fillId="20" borderId="2" xfId="2" applyFont="1" applyFill="1" applyBorder="1" applyAlignment="1" applyProtection="1">
      <alignment horizontal="center"/>
      <protection locked="0"/>
    </xf>
    <xf numFmtId="0" fontId="2" fillId="20" borderId="2" xfId="2" applyFont="1" applyFill="1" applyBorder="1" applyAlignment="1" applyProtection="1">
      <alignment horizontal="center" vertical="center"/>
      <protection locked="0"/>
    </xf>
    <xf numFmtId="0" fontId="20" fillId="22" borderId="0" xfId="0" applyFont="1" applyFill="1" applyBorder="1" applyAlignment="1" applyProtection="1">
      <alignment horizontal="left" vertical="center" wrapText="1" indent="5"/>
      <protection hidden="1"/>
    </xf>
    <xf numFmtId="0" fontId="2" fillId="10" borderId="39" xfId="2" applyFill="1" applyBorder="1" applyAlignment="1" applyProtection="1">
      <alignment horizontal="left" vertical="center" wrapText="1" indent="9"/>
      <protection hidden="1"/>
    </xf>
    <xf numFmtId="0" fontId="2" fillId="10" borderId="0" xfId="2" applyFill="1" applyBorder="1" applyAlignment="1" applyProtection="1">
      <alignment horizontal="left" vertical="center" wrapText="1" indent="9"/>
      <protection hidden="1"/>
    </xf>
    <xf numFmtId="0" fontId="2" fillId="10" borderId="40" xfId="2" applyFill="1" applyBorder="1" applyAlignment="1" applyProtection="1">
      <alignment horizontal="left" vertical="center" wrapText="1" indent="9"/>
      <protection hidden="1"/>
    </xf>
    <xf numFmtId="0" fontId="2" fillId="10" borderId="22" xfId="2" applyFill="1" applyBorder="1" applyAlignment="1" applyProtection="1">
      <alignment horizontal="left" vertical="center" wrapText="1" indent="9"/>
      <protection hidden="1"/>
    </xf>
    <xf numFmtId="0" fontId="2" fillId="10" borderId="23" xfId="2" applyFill="1" applyBorder="1" applyAlignment="1" applyProtection="1">
      <alignment horizontal="left" vertical="center" wrapText="1" indent="9"/>
      <protection hidden="1"/>
    </xf>
    <xf numFmtId="0" fontId="2" fillId="10" borderId="24" xfId="2" applyFill="1" applyBorder="1" applyAlignment="1" applyProtection="1">
      <alignment horizontal="left" vertical="center" wrapText="1" indent="9"/>
      <protection hidden="1"/>
    </xf>
    <xf numFmtId="0" fontId="21" fillId="2" borderId="0" xfId="2" applyFont="1" applyFill="1" applyBorder="1" applyAlignment="1" applyProtection="1">
      <alignment horizontal="left" indent="5"/>
      <protection hidden="1"/>
    </xf>
    <xf numFmtId="0" fontId="13" fillId="6" borderId="10" xfId="0" applyFont="1" applyFill="1" applyBorder="1" applyAlignment="1" applyProtection="1">
      <alignment horizontal="center" vertical="center" wrapText="1"/>
      <protection hidden="1"/>
    </xf>
    <xf numFmtId="0" fontId="2" fillId="10" borderId="39" xfId="0" applyFont="1" applyFill="1" applyBorder="1" applyAlignment="1" applyProtection="1">
      <alignment horizontal="left" vertical="center" wrapText="1" indent="7"/>
      <protection hidden="1"/>
    </xf>
    <xf numFmtId="0" fontId="2" fillId="10" borderId="40" xfId="0" applyFont="1" applyFill="1" applyBorder="1" applyAlignment="1" applyProtection="1">
      <alignment horizontal="left" vertical="center" wrapText="1" indent="7"/>
      <protection hidden="1"/>
    </xf>
    <xf numFmtId="0" fontId="2" fillId="10" borderId="22" xfId="0" applyFont="1" applyFill="1" applyBorder="1" applyAlignment="1" applyProtection="1">
      <alignment horizontal="left" vertical="center" indent="7"/>
      <protection hidden="1"/>
    </xf>
    <xf numFmtId="0" fontId="2" fillId="10" borderId="23" xfId="0" applyFont="1" applyFill="1" applyBorder="1" applyAlignment="1" applyProtection="1">
      <alignment horizontal="left" vertical="center" indent="7"/>
      <protection hidden="1"/>
    </xf>
    <xf numFmtId="0" fontId="2" fillId="10" borderId="24" xfId="0" applyFont="1" applyFill="1" applyBorder="1" applyAlignment="1" applyProtection="1">
      <alignment horizontal="left" vertical="center" indent="7"/>
      <protection hidden="1"/>
    </xf>
    <xf numFmtId="0" fontId="14" fillId="10" borderId="4"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11"/>
      <protection hidden="1"/>
    </xf>
    <xf numFmtId="0" fontId="2" fillId="10" borderId="36" xfId="2" applyFont="1" applyFill="1" applyBorder="1" applyAlignment="1" applyProtection="1">
      <alignment horizontal="left" indent="6"/>
      <protection hidden="1"/>
    </xf>
    <xf numFmtId="0" fontId="2" fillId="10" borderId="37" xfId="2" applyFont="1" applyFill="1" applyBorder="1" applyAlignment="1" applyProtection="1">
      <alignment horizontal="left" indent="6"/>
      <protection hidden="1"/>
    </xf>
    <xf numFmtId="0" fontId="2" fillId="10" borderId="38" xfId="2" applyFont="1" applyFill="1" applyBorder="1" applyAlignment="1" applyProtection="1">
      <alignment horizontal="left" indent="6"/>
      <protection hidden="1"/>
    </xf>
    <xf numFmtId="0" fontId="2" fillId="10" borderId="39" xfId="2" applyFont="1" applyFill="1" applyBorder="1" applyAlignment="1" applyProtection="1">
      <alignment horizontal="left" vertical="center" indent="8"/>
      <protection hidden="1"/>
    </xf>
    <xf numFmtId="0" fontId="2" fillId="10" borderId="0" xfId="2" applyFont="1" applyFill="1" applyBorder="1" applyAlignment="1" applyProtection="1">
      <alignment horizontal="left" vertical="center" indent="8"/>
      <protection hidden="1"/>
    </xf>
    <xf numFmtId="0" fontId="2" fillId="10" borderId="40" xfId="2" applyFont="1" applyFill="1" applyBorder="1" applyAlignment="1" applyProtection="1">
      <alignment horizontal="left" vertical="center" indent="8"/>
      <protection hidden="1"/>
    </xf>
    <xf numFmtId="0" fontId="13" fillId="6" borderId="35" xfId="0" applyFont="1" applyFill="1" applyBorder="1" applyAlignment="1" applyProtection="1">
      <alignment horizontal="left" vertical="center" indent="1"/>
      <protection hidden="1"/>
    </xf>
    <xf numFmtId="0" fontId="13" fillId="6" borderId="0" xfId="0" applyFont="1" applyFill="1" applyBorder="1" applyAlignment="1" applyProtection="1">
      <alignment horizontal="left" vertical="center" indent="1"/>
      <protection hidden="1"/>
    </xf>
    <xf numFmtId="0" fontId="14" fillId="20" borderId="10" xfId="0" applyFont="1" applyFill="1" applyBorder="1" applyAlignment="1" applyProtection="1">
      <alignment horizontal="left" vertical="center" wrapText="1" indent="1"/>
      <protection locked="0"/>
    </xf>
    <xf numFmtId="0" fontId="14" fillId="20" borderId="7" xfId="0" applyFont="1" applyFill="1" applyBorder="1" applyAlignment="1" applyProtection="1">
      <alignment horizontal="left" vertical="center" wrapText="1" indent="1"/>
      <protection locked="0"/>
    </xf>
    <xf numFmtId="0" fontId="14" fillId="20" borderId="8" xfId="0" applyFont="1" applyFill="1" applyBorder="1" applyAlignment="1" applyProtection="1">
      <alignment horizontal="left" vertical="center" wrapText="1" indent="1"/>
      <protection locked="0"/>
    </xf>
    <xf numFmtId="0" fontId="2" fillId="10" borderId="22" xfId="2" applyFill="1" applyBorder="1" applyAlignment="1" applyProtection="1">
      <alignment horizontal="left" vertical="center" wrapText="1" indent="6"/>
      <protection hidden="1"/>
    </xf>
    <xf numFmtId="0" fontId="2" fillId="10" borderId="23" xfId="2" applyFill="1" applyBorder="1" applyAlignment="1" applyProtection="1">
      <alignment horizontal="left" vertical="center" wrapText="1" indent="6"/>
      <protection hidden="1"/>
    </xf>
    <xf numFmtId="0" fontId="2" fillId="10" borderId="24" xfId="2" applyFill="1" applyBorder="1" applyAlignment="1" applyProtection="1">
      <alignment horizontal="left" vertical="center" wrapText="1" indent="6"/>
      <protection hidden="1"/>
    </xf>
    <xf numFmtId="0" fontId="19" fillId="6" borderId="5" xfId="2" applyFont="1" applyFill="1" applyBorder="1" applyAlignment="1" applyProtection="1">
      <alignment horizontal="left" vertical="center" wrapText="1" indent="1"/>
      <protection hidden="1"/>
    </xf>
    <xf numFmtId="0" fontId="19" fillId="6" borderId="84" xfId="2" applyFont="1" applyFill="1" applyBorder="1" applyAlignment="1" applyProtection="1">
      <alignment horizontal="left" vertical="center" wrapText="1" indent="1"/>
      <protection hidden="1"/>
    </xf>
    <xf numFmtId="0" fontId="19" fillId="6" borderId="89" xfId="2" applyFont="1" applyFill="1" applyBorder="1" applyAlignment="1" applyProtection="1">
      <alignment horizontal="center" vertical="center" wrapText="1"/>
      <protection hidden="1"/>
    </xf>
    <xf numFmtId="0" fontId="19" fillId="6" borderId="84" xfId="2" applyFont="1" applyFill="1" applyBorder="1" applyAlignment="1" applyProtection="1">
      <alignment horizontal="center" vertical="center" wrapText="1"/>
      <protection hidden="1"/>
    </xf>
    <xf numFmtId="0" fontId="11" fillId="6" borderId="4" xfId="0" applyFont="1" applyFill="1" applyBorder="1" applyAlignment="1">
      <alignment horizontal="center" vertical="center" wrapText="1"/>
    </xf>
    <xf numFmtId="0" fontId="11" fillId="6" borderId="4" xfId="0" applyFont="1" applyFill="1" applyBorder="1" applyAlignment="1">
      <alignment wrapText="1"/>
    </xf>
    <xf numFmtId="0" fontId="19" fillId="6" borderId="121" xfId="2" applyFont="1" applyFill="1" applyBorder="1" applyAlignment="1" applyProtection="1">
      <alignment horizontal="center" vertical="center" wrapText="1"/>
      <protection hidden="1"/>
    </xf>
    <xf numFmtId="0" fontId="19" fillId="6" borderId="122" xfId="2" applyFont="1" applyFill="1" applyBorder="1" applyAlignment="1" applyProtection="1">
      <alignment horizontal="center" vertical="center" wrapText="1"/>
      <protection hidden="1"/>
    </xf>
    <xf numFmtId="0" fontId="2" fillId="18" borderId="26" xfId="2" applyFont="1" applyFill="1" applyBorder="1" applyAlignment="1" applyProtection="1">
      <alignment horizontal="center" vertical="center"/>
      <protection hidden="1"/>
    </xf>
    <xf numFmtId="0" fontId="2" fillId="20" borderId="25" xfId="2" applyFont="1" applyFill="1" applyBorder="1" applyAlignment="1" applyProtection="1">
      <alignment horizontal="center" vertical="center"/>
      <protection locked="0"/>
    </xf>
    <xf numFmtId="0" fontId="2" fillId="20" borderId="26" xfId="2" applyFont="1" applyFill="1" applyBorder="1" applyAlignment="1" applyProtection="1">
      <alignment horizontal="center" vertical="center"/>
      <protection locked="0"/>
    </xf>
    <xf numFmtId="0" fontId="2" fillId="20" borderId="27" xfId="2" applyFont="1" applyFill="1" applyBorder="1" applyAlignment="1" applyProtection="1">
      <alignment horizontal="center" vertical="center"/>
      <protection locked="0"/>
    </xf>
    <xf numFmtId="0" fontId="21" fillId="11" borderId="5" xfId="2" applyFont="1" applyFill="1" applyBorder="1" applyAlignment="1" applyProtection="1">
      <alignment horizontal="center" vertical="center"/>
      <protection hidden="1"/>
    </xf>
    <xf numFmtId="0" fontId="2" fillId="2" borderId="0" xfId="0" applyFont="1" applyFill="1" applyAlignment="1">
      <alignment horizontal="left" vertical="center" wrapText="1" indent="6"/>
    </xf>
    <xf numFmtId="0" fontId="19" fillId="6" borderId="26" xfId="2" applyFont="1" applyFill="1" applyBorder="1" applyAlignment="1" applyProtection="1">
      <alignment horizontal="center" vertical="center" wrapText="1"/>
      <protection hidden="1"/>
    </xf>
    <xf numFmtId="0" fontId="19" fillId="6" borderId="27" xfId="2" applyFont="1" applyFill="1" applyBorder="1" applyAlignment="1" applyProtection="1">
      <alignment horizontal="center" vertical="center" wrapText="1"/>
      <protection hidden="1"/>
    </xf>
    <xf numFmtId="0" fontId="21" fillId="11" borderId="120" xfId="2" applyFont="1" applyFill="1" applyBorder="1" applyAlignment="1" applyProtection="1">
      <alignment horizontal="center" vertical="center"/>
      <protection hidden="1"/>
    </xf>
    <xf numFmtId="0" fontId="21" fillId="11" borderId="26" xfId="2" applyFont="1" applyFill="1" applyBorder="1" applyAlignment="1" applyProtection="1">
      <alignment horizontal="center" vertical="center"/>
      <protection hidden="1"/>
    </xf>
    <xf numFmtId="0" fontId="21" fillId="11" borderId="27" xfId="2" applyFont="1" applyFill="1" applyBorder="1" applyAlignment="1" applyProtection="1">
      <alignment horizontal="center" vertical="center"/>
      <protection hidden="1"/>
    </xf>
    <xf numFmtId="0" fontId="2" fillId="11" borderId="5" xfId="2" applyFont="1" applyFill="1" applyBorder="1" applyAlignment="1" applyProtection="1">
      <alignment horizontal="left" vertical="center" wrapText="1" indent="1"/>
      <protection hidden="1"/>
    </xf>
    <xf numFmtId="0" fontId="11" fillId="6" borderId="30" xfId="0" applyFont="1" applyFill="1" applyBorder="1" applyAlignment="1">
      <alignment horizontal="center" vertical="center" wrapText="1"/>
    </xf>
    <xf numFmtId="0" fontId="11" fillId="6" borderId="3" xfId="0" applyFont="1" applyFill="1" applyBorder="1" applyAlignment="1">
      <alignment wrapText="1"/>
    </xf>
    <xf numFmtId="0" fontId="11" fillId="6" borderId="3" xfId="0" applyFont="1" applyFill="1" applyBorder="1" applyAlignment="1">
      <alignment horizontal="center" vertical="center" wrapText="1"/>
    </xf>
    <xf numFmtId="0" fontId="11" fillId="6" borderId="31"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0" xfId="0" applyFont="1" applyFill="1" applyBorder="1" applyAlignment="1">
      <alignment horizontal="center" vertical="center"/>
    </xf>
    <xf numFmtId="0" fontId="11" fillId="6" borderId="29" xfId="0" applyFont="1" applyFill="1" applyBorder="1" applyAlignment="1">
      <alignment horizontal="center" vertical="center" wrapText="1"/>
    </xf>
    <xf numFmtId="0" fontId="11" fillId="6" borderId="32" xfId="0" applyFont="1" applyFill="1" applyBorder="1"/>
    <xf numFmtId="10" fontId="14" fillId="20" borderId="10" xfId="1" applyNumberFormat="1" applyFont="1" applyFill="1" applyBorder="1" applyAlignment="1" applyProtection="1">
      <alignment horizontal="center" vertical="center" wrapText="1"/>
      <protection locked="0"/>
    </xf>
    <xf numFmtId="10" fontId="14" fillId="20" borderId="8" xfId="1" applyNumberFormat="1"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2" fillId="4" borderId="8" xfId="0" applyFont="1" applyFill="1" applyBorder="1" applyAlignment="1">
      <alignment horizontal="left" vertical="center" wrapText="1" indent="1"/>
    </xf>
    <xf numFmtId="0" fontId="13" fillId="6" borderId="3" xfId="0" applyFont="1" applyFill="1" applyBorder="1" applyAlignment="1" applyProtection="1">
      <alignment horizontal="center" vertical="center"/>
      <protection hidden="1"/>
    </xf>
    <xf numFmtId="0" fontId="13" fillId="6" borderId="32" xfId="0" applyFont="1" applyFill="1" applyBorder="1" applyAlignment="1" applyProtection="1">
      <alignment horizontal="left" vertical="center" indent="1"/>
      <protection hidden="1"/>
    </xf>
    <xf numFmtId="0" fontId="13" fillId="6" borderId="3" xfId="0" applyFont="1" applyFill="1" applyBorder="1" applyAlignment="1" applyProtection="1">
      <alignment horizontal="left" vertical="center" indent="1"/>
      <protection hidden="1"/>
    </xf>
    <xf numFmtId="0" fontId="21" fillId="10" borderId="91" xfId="2" applyFont="1" applyFill="1" applyBorder="1" applyAlignment="1">
      <alignment horizontal="left" vertical="center" wrapText="1" indent="1"/>
    </xf>
    <xf numFmtId="0" fontId="21" fillId="10" borderId="92" xfId="2" applyFont="1" applyFill="1" applyBorder="1" applyAlignment="1">
      <alignment horizontal="left" vertical="center" wrapText="1" indent="1"/>
    </xf>
    <xf numFmtId="0" fontId="21" fillId="10" borderId="93" xfId="2" applyFont="1" applyFill="1" applyBorder="1" applyAlignment="1">
      <alignment horizontal="left" vertical="center" wrapText="1" indent="1"/>
    </xf>
    <xf numFmtId="0" fontId="19" fillId="6" borderId="85" xfId="2" applyFont="1" applyFill="1" applyBorder="1" applyAlignment="1" applyProtection="1">
      <alignment horizontal="left" vertical="center" wrapText="1" indent="1"/>
      <protection hidden="1"/>
    </xf>
    <xf numFmtId="0" fontId="2" fillId="11" borderId="84" xfId="2" applyFont="1" applyFill="1" applyBorder="1" applyAlignment="1" applyProtection="1">
      <alignment horizontal="left" vertical="center" wrapText="1" indent="1"/>
      <protection hidden="1"/>
    </xf>
    <xf numFmtId="0" fontId="2" fillId="11" borderId="85" xfId="2" applyFont="1" applyFill="1" applyBorder="1" applyAlignment="1" applyProtection="1">
      <alignment horizontal="left" vertical="center" wrapText="1" indent="1"/>
      <protection hidden="1"/>
    </xf>
    <xf numFmtId="0" fontId="2" fillId="11" borderId="89" xfId="2" applyFont="1" applyFill="1" applyBorder="1" applyAlignment="1" applyProtection="1">
      <alignment horizontal="left" vertical="center" wrapText="1" indent="1"/>
      <protection hidden="1"/>
    </xf>
    <xf numFmtId="0" fontId="14" fillId="4" borderId="34" xfId="1" applyNumberFormat="1" applyFont="1" applyFill="1" applyBorder="1" applyAlignment="1" applyProtection="1">
      <alignment horizontal="center" vertical="center" wrapText="1"/>
      <protection hidden="1"/>
    </xf>
    <xf numFmtId="0" fontId="14" fillId="4" borderId="53" xfId="1" applyNumberFormat="1" applyFont="1" applyFill="1" applyBorder="1" applyAlignment="1" applyProtection="1">
      <alignment horizontal="center" vertical="center" wrapText="1"/>
      <protection hidden="1"/>
    </xf>
    <xf numFmtId="0" fontId="14" fillId="4" borderId="28" xfId="1" applyNumberFormat="1" applyFont="1" applyFill="1" applyBorder="1" applyAlignment="1" applyProtection="1">
      <alignment horizontal="center" vertical="center" wrapText="1"/>
      <protection hidden="1"/>
    </xf>
    <xf numFmtId="167" fontId="14" fillId="20" borderId="34" xfId="0" applyNumberFormat="1" applyFont="1" applyFill="1" applyBorder="1" applyAlignment="1" applyProtection="1">
      <alignment horizontal="center" vertical="center" wrapText="1"/>
      <protection locked="0"/>
    </xf>
    <xf numFmtId="167" fontId="14" fillId="20" borderId="53" xfId="0" applyNumberFormat="1" applyFont="1" applyFill="1" applyBorder="1" applyAlignment="1" applyProtection="1">
      <alignment horizontal="center" vertical="center" wrapText="1"/>
      <protection locked="0"/>
    </xf>
    <xf numFmtId="167" fontId="14" fillId="20" borderId="28" xfId="0" applyNumberFormat="1" applyFont="1" applyFill="1" applyBorder="1" applyAlignment="1" applyProtection="1">
      <alignment horizontal="center" vertical="center" wrapText="1"/>
      <protection locked="0"/>
    </xf>
    <xf numFmtId="0" fontId="2" fillId="10" borderId="39" xfId="2" applyFont="1" applyFill="1" applyBorder="1" applyAlignment="1" applyProtection="1">
      <alignment horizontal="left" indent="7"/>
      <protection hidden="1"/>
    </xf>
    <xf numFmtId="0" fontId="2" fillId="10" borderId="0" xfId="2" applyFont="1" applyFill="1" applyBorder="1" applyAlignment="1" applyProtection="1">
      <alignment horizontal="left" indent="7"/>
      <protection hidden="1"/>
    </xf>
    <xf numFmtId="0" fontId="2" fillId="10" borderId="40" xfId="2" applyFont="1" applyFill="1" applyBorder="1" applyAlignment="1" applyProtection="1">
      <alignment horizontal="left" indent="7"/>
      <protection hidden="1"/>
    </xf>
    <xf numFmtId="0" fontId="2" fillId="10" borderId="22" xfId="2" applyFont="1" applyFill="1" applyBorder="1" applyAlignment="1" applyProtection="1">
      <alignment horizontal="left" indent="7"/>
      <protection hidden="1"/>
    </xf>
    <xf numFmtId="0" fontId="2" fillId="10" borderId="23" xfId="2" applyFont="1" applyFill="1" applyBorder="1" applyAlignment="1" applyProtection="1">
      <alignment horizontal="left" indent="7"/>
      <protection hidden="1"/>
    </xf>
    <xf numFmtId="0" fontId="2" fillId="10" borderId="24" xfId="2" applyFont="1" applyFill="1" applyBorder="1" applyAlignment="1" applyProtection="1">
      <alignment horizontal="left" indent="7"/>
      <protection hidden="1"/>
    </xf>
    <xf numFmtId="0" fontId="2" fillId="2" borderId="0" xfId="2" applyFill="1" applyBorder="1" applyAlignment="1" applyProtection="1">
      <alignment horizontal="left" vertical="center" wrapText="1" indent="5"/>
      <protection hidden="1"/>
    </xf>
    <xf numFmtId="0" fontId="2" fillId="10" borderId="36" xfId="2" applyFont="1" applyFill="1" applyBorder="1" applyAlignment="1" applyProtection="1">
      <alignment horizontal="left" vertical="center" indent="7"/>
      <protection hidden="1"/>
    </xf>
    <xf numFmtId="0" fontId="2" fillId="10" borderId="37" xfId="2" applyFont="1" applyFill="1" applyBorder="1" applyAlignment="1" applyProtection="1">
      <alignment horizontal="left" vertical="center" indent="7"/>
      <protection hidden="1"/>
    </xf>
    <xf numFmtId="0" fontId="2" fillId="10" borderId="38" xfId="2" applyFont="1" applyFill="1" applyBorder="1" applyAlignment="1" applyProtection="1">
      <alignment horizontal="left" vertical="center" indent="7"/>
      <protection hidden="1"/>
    </xf>
    <xf numFmtId="0" fontId="14" fillId="20" borderId="4" xfId="0" applyNumberFormat="1"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wrapText="1" indent="6"/>
      <protection hidden="1"/>
    </xf>
    <xf numFmtId="0" fontId="2" fillId="2" borderId="0" xfId="2" applyFont="1" applyFill="1" applyBorder="1" applyAlignment="1" applyProtection="1">
      <alignment horizontal="left" wrapText="1" indent="5"/>
      <protection hidden="1"/>
    </xf>
    <xf numFmtId="0" fontId="21" fillId="2" borderId="0" xfId="2" applyFont="1" applyFill="1" applyAlignment="1" applyProtection="1">
      <alignment horizontal="left" vertical="center" indent="6"/>
      <protection hidden="1"/>
    </xf>
    <xf numFmtId="0" fontId="16" fillId="6" borderId="29" xfId="0" applyFont="1" applyFill="1" applyBorder="1" applyAlignment="1" applyProtection="1">
      <alignment horizontal="center" vertical="center"/>
      <protection hidden="1"/>
    </xf>
    <xf numFmtId="0" fontId="16" fillId="6" borderId="30" xfId="0" applyFont="1" applyFill="1" applyBorder="1" applyAlignment="1" applyProtection="1">
      <alignment horizontal="center" vertical="center"/>
      <protection hidden="1"/>
    </xf>
    <xf numFmtId="0" fontId="16" fillId="6" borderId="31" xfId="0"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2" fillId="10" borderId="39" xfId="2" quotePrefix="1" applyFont="1" applyFill="1" applyBorder="1" applyAlignment="1" applyProtection="1">
      <alignment horizontal="left" vertical="center" wrapText="1" indent="9"/>
      <protection hidden="1"/>
    </xf>
    <xf numFmtId="0" fontId="21" fillId="2" borderId="0" xfId="2" applyFont="1" applyFill="1" applyAlignment="1" applyProtection="1">
      <alignment horizontal="left" vertical="center" indent="5"/>
      <protection hidden="1"/>
    </xf>
    <xf numFmtId="0" fontId="13" fillId="6" borderId="30" xfId="0" applyFont="1" applyFill="1" applyBorder="1" applyAlignment="1" applyProtection="1">
      <alignment horizontal="center" vertical="center" wrapText="1"/>
      <protection hidden="1"/>
    </xf>
    <xf numFmtId="0" fontId="13" fillId="6" borderId="31" xfId="0" applyFont="1" applyFill="1" applyBorder="1" applyAlignment="1" applyProtection="1">
      <alignment horizontal="center" vertical="center" wrapText="1"/>
      <protection hidden="1"/>
    </xf>
    <xf numFmtId="0" fontId="14" fillId="20" borderId="20" xfId="0" applyFont="1" applyFill="1" applyBorder="1" applyAlignment="1" applyProtection="1">
      <alignment horizontal="center" vertical="center" wrapText="1"/>
      <protection locked="0"/>
    </xf>
    <xf numFmtId="0" fontId="14" fillId="20" borderId="3" xfId="0" applyFont="1" applyFill="1" applyBorder="1" applyAlignment="1" applyProtection="1">
      <alignment horizontal="center" vertical="center" wrapText="1"/>
      <protection locked="0"/>
    </xf>
    <xf numFmtId="0" fontId="13" fillId="6" borderId="59" xfId="0" applyFont="1" applyFill="1" applyBorder="1" applyAlignment="1" applyProtection="1">
      <alignment horizontal="left" vertical="center" indent="1"/>
      <protection hidden="1"/>
    </xf>
    <xf numFmtId="0" fontId="13" fillId="6" borderId="30" xfId="0" applyFont="1" applyFill="1" applyBorder="1" applyAlignment="1" applyProtection="1">
      <alignment horizontal="left" vertical="center" indent="1"/>
      <protection hidden="1"/>
    </xf>
    <xf numFmtId="0" fontId="13" fillId="6" borderId="31" xfId="0" applyFont="1" applyFill="1" applyBorder="1" applyAlignment="1" applyProtection="1">
      <alignment horizontal="left" vertical="center" indent="1"/>
      <protection hidden="1"/>
    </xf>
    <xf numFmtId="0" fontId="2" fillId="10" borderId="98" xfId="2" applyFill="1" applyBorder="1" applyAlignment="1" applyProtection="1">
      <alignment horizontal="left" vertical="center" wrapText="1" indent="1"/>
      <protection hidden="1"/>
    </xf>
    <xf numFmtId="0" fontId="2" fillId="10" borderId="100" xfId="2" applyFill="1" applyBorder="1" applyAlignment="1" applyProtection="1">
      <alignment horizontal="left" vertical="center" wrapText="1" indent="1"/>
      <protection hidden="1"/>
    </xf>
    <xf numFmtId="0" fontId="2" fillId="10" borderId="35" xfId="2" applyFill="1" applyBorder="1" applyAlignment="1" applyProtection="1">
      <alignment horizontal="left" vertical="center" wrapText="1" indent="1"/>
      <protection hidden="1"/>
    </xf>
    <xf numFmtId="0" fontId="2" fillId="10" borderId="20" xfId="2" applyFill="1" applyBorder="1" applyAlignment="1" applyProtection="1">
      <alignment horizontal="left" vertical="center" wrapText="1" indent="1"/>
      <protection hidden="1"/>
    </xf>
    <xf numFmtId="0" fontId="2" fillId="10" borderId="133" xfId="2" applyFill="1" applyBorder="1" applyAlignment="1" applyProtection="1">
      <alignment horizontal="left" vertical="center" wrapText="1" indent="1"/>
      <protection hidden="1"/>
    </xf>
    <xf numFmtId="0" fontId="2" fillId="10" borderId="134" xfId="2" applyFill="1" applyBorder="1" applyAlignment="1" applyProtection="1">
      <alignment horizontal="left" vertical="center" wrapText="1" indent="1"/>
      <protection hidden="1"/>
    </xf>
    <xf numFmtId="0" fontId="2" fillId="10" borderId="4" xfId="2" applyFill="1" applyBorder="1" applyAlignment="1" applyProtection="1">
      <alignment horizontal="left" vertical="center" wrapText="1" indent="1"/>
      <protection hidden="1"/>
    </xf>
    <xf numFmtId="2" fontId="2" fillId="4" borderId="35" xfId="0" applyNumberFormat="1" applyFont="1" applyFill="1" applyBorder="1" applyAlignment="1" applyProtection="1">
      <alignment horizontal="center" vertical="center" wrapText="1"/>
      <protection hidden="1"/>
    </xf>
    <xf numFmtId="2" fontId="2" fillId="4" borderId="0" xfId="0" applyNumberFormat="1" applyFont="1" applyFill="1" applyBorder="1" applyAlignment="1" applyProtection="1">
      <alignment horizontal="center" vertical="center" wrapText="1"/>
      <protection hidden="1"/>
    </xf>
    <xf numFmtId="2" fontId="2" fillId="4" borderId="4" xfId="0" applyNumberFormat="1" applyFont="1" applyFill="1" applyBorder="1" applyAlignment="1" applyProtection="1">
      <alignment horizontal="center" vertical="center" wrapText="1"/>
      <protection hidden="1"/>
    </xf>
    <xf numFmtId="0" fontId="2" fillId="10" borderId="47" xfId="2" applyFont="1" applyFill="1" applyBorder="1" applyAlignment="1" applyProtection="1">
      <alignment horizontal="left" indent="7"/>
      <protection hidden="1"/>
    </xf>
    <xf numFmtId="0" fontId="2" fillId="10" borderId="46" xfId="2" applyFont="1" applyFill="1" applyBorder="1" applyAlignment="1" applyProtection="1">
      <alignment horizontal="left" indent="7"/>
      <protection hidden="1"/>
    </xf>
    <xf numFmtId="0" fontId="2" fillId="10" borderId="48" xfId="2" applyFont="1" applyFill="1" applyBorder="1" applyAlignment="1" applyProtection="1">
      <alignment horizontal="left" indent="7"/>
      <protection hidden="1"/>
    </xf>
    <xf numFmtId="0" fontId="2" fillId="10" borderId="135" xfId="2" applyFill="1" applyBorder="1" applyAlignment="1" applyProtection="1">
      <alignment horizontal="left" vertical="center" wrapText="1" indent="1"/>
      <protection hidden="1"/>
    </xf>
    <xf numFmtId="0" fontId="2" fillId="10" borderId="136" xfId="2" applyFill="1" applyBorder="1" applyAlignment="1" applyProtection="1">
      <alignment horizontal="left" vertical="center" indent="1"/>
      <protection hidden="1"/>
    </xf>
    <xf numFmtId="167" fontId="14" fillId="20" borderId="32" xfId="0" applyNumberFormat="1" applyFont="1" applyFill="1" applyBorder="1" applyAlignment="1" applyProtection="1">
      <alignment horizontal="center" vertical="center" wrapText="1"/>
      <protection locked="0"/>
    </xf>
    <xf numFmtId="167" fontId="14" fillId="20" borderId="33" xfId="0" applyNumberFormat="1" applyFont="1" applyFill="1" applyBorder="1" applyAlignment="1" applyProtection="1">
      <alignment horizontal="center" vertical="center" wrapText="1"/>
      <protection locked="0"/>
    </xf>
    <xf numFmtId="0" fontId="2" fillId="10" borderId="22" xfId="2" applyFill="1" applyBorder="1" applyAlignment="1" applyProtection="1">
      <alignment horizontal="left" vertical="center" indent="6"/>
      <protection hidden="1"/>
    </xf>
    <xf numFmtId="0" fontId="2" fillId="10" borderId="23" xfId="2" applyFill="1" applyBorder="1" applyAlignment="1" applyProtection="1">
      <alignment horizontal="left" vertical="center" indent="6"/>
      <protection hidden="1"/>
    </xf>
    <xf numFmtId="0" fontId="2" fillId="10" borderId="24" xfId="2" applyFill="1" applyBorder="1" applyAlignment="1" applyProtection="1">
      <alignment horizontal="left" vertical="center" indent="6"/>
      <protection hidden="1"/>
    </xf>
    <xf numFmtId="0" fontId="2" fillId="2" borderId="0" xfId="2" applyFill="1" applyBorder="1" applyAlignment="1" applyProtection="1">
      <alignment horizontal="left" wrapText="1"/>
      <protection hidden="1"/>
    </xf>
    <xf numFmtId="0" fontId="2" fillId="11" borderId="22" xfId="2" applyFont="1" applyFill="1" applyBorder="1" applyAlignment="1" applyProtection="1">
      <alignment horizontal="left" vertical="center" wrapText="1"/>
      <protection hidden="1"/>
    </xf>
    <xf numFmtId="0" fontId="2" fillId="11" borderId="23" xfId="2" applyFont="1" applyFill="1" applyBorder="1" applyAlignment="1" applyProtection="1">
      <alignment horizontal="left" vertical="center" wrapText="1"/>
      <protection hidden="1"/>
    </xf>
    <xf numFmtId="0" fontId="2" fillId="11" borderId="24" xfId="2" applyFont="1" applyFill="1" applyBorder="1" applyAlignment="1" applyProtection="1">
      <alignment horizontal="left" vertical="center" wrapText="1"/>
      <protection hidden="1"/>
    </xf>
    <xf numFmtId="0" fontId="19" fillId="6" borderId="25" xfId="2" applyFont="1" applyFill="1" applyBorder="1" applyAlignment="1" applyProtection="1">
      <alignment horizontal="left" vertical="center" wrapText="1"/>
      <protection hidden="1"/>
    </xf>
    <xf numFmtId="0" fontId="19" fillId="6" borderId="26" xfId="2" applyFont="1" applyFill="1" applyBorder="1" applyAlignment="1" applyProtection="1">
      <alignment horizontal="left" vertical="center" wrapText="1"/>
      <protection hidden="1"/>
    </xf>
    <xf numFmtId="0" fontId="21" fillId="10" borderId="25" xfId="2" applyFont="1" applyFill="1" applyBorder="1" applyAlignment="1">
      <alignment horizontal="left" vertical="center" wrapText="1"/>
    </xf>
    <xf numFmtId="0" fontId="21" fillId="10" borderId="26" xfId="2" applyFont="1" applyFill="1" applyBorder="1" applyAlignment="1">
      <alignment horizontal="left" vertical="center" wrapText="1"/>
    </xf>
    <xf numFmtId="0" fontId="21" fillId="10" borderId="27" xfId="2" applyFont="1" applyFill="1" applyBorder="1" applyAlignment="1">
      <alignment horizontal="left" vertical="center" wrapText="1"/>
    </xf>
    <xf numFmtId="0" fontId="2" fillId="10" borderId="49" xfId="2" applyFill="1" applyBorder="1" applyAlignment="1" applyProtection="1">
      <alignment horizontal="left" vertical="center" indent="9"/>
      <protection hidden="1"/>
    </xf>
    <xf numFmtId="0" fontId="2" fillId="10" borderId="0" xfId="2" applyFill="1" applyBorder="1" applyAlignment="1" applyProtection="1">
      <alignment horizontal="left" vertical="center" indent="9"/>
      <protection hidden="1"/>
    </xf>
    <xf numFmtId="0" fontId="2" fillId="10" borderId="50" xfId="2" applyFill="1" applyBorder="1" applyAlignment="1" applyProtection="1">
      <alignment horizontal="left" vertical="center" indent="9"/>
      <protection hidden="1"/>
    </xf>
    <xf numFmtId="0" fontId="2" fillId="10" borderId="49" xfId="2" quotePrefix="1" applyFill="1" applyBorder="1" applyAlignment="1" applyProtection="1">
      <alignment horizontal="left" vertical="center" indent="11"/>
      <protection hidden="1"/>
    </xf>
    <xf numFmtId="0" fontId="2" fillId="10" borderId="0" xfId="2" applyFill="1" applyBorder="1" applyAlignment="1" applyProtection="1">
      <alignment horizontal="left" vertical="center" indent="11"/>
      <protection hidden="1"/>
    </xf>
    <xf numFmtId="0" fontId="2" fillId="10" borderId="50" xfId="2" applyFill="1" applyBorder="1" applyAlignment="1" applyProtection="1">
      <alignment horizontal="left" vertical="center" indent="11"/>
      <protection hidden="1"/>
    </xf>
    <xf numFmtId="0" fontId="2" fillId="10" borderId="51" xfId="2" quotePrefix="1" applyFill="1" applyBorder="1" applyAlignment="1" applyProtection="1">
      <alignment horizontal="left" vertical="center" indent="11"/>
      <protection hidden="1"/>
    </xf>
    <xf numFmtId="0" fontId="2" fillId="10" borderId="6" xfId="2" quotePrefix="1" applyFill="1" applyBorder="1" applyAlignment="1" applyProtection="1">
      <alignment horizontal="left" vertical="center" indent="11"/>
      <protection hidden="1"/>
    </xf>
    <xf numFmtId="0" fontId="2" fillId="10" borderId="52" xfId="2" quotePrefix="1" applyFill="1" applyBorder="1" applyAlignment="1" applyProtection="1">
      <alignment horizontal="left" vertical="center" indent="11"/>
      <protection hidden="1"/>
    </xf>
    <xf numFmtId="0" fontId="13" fillId="6" borderId="3" xfId="0" applyFont="1" applyFill="1" applyBorder="1" applyAlignment="1" applyProtection="1">
      <alignment horizontal="center" vertical="center" wrapText="1"/>
      <protection hidden="1"/>
    </xf>
    <xf numFmtId="0" fontId="13" fillId="6" borderId="29" xfId="0" applyFont="1" applyFill="1" applyBorder="1" applyAlignment="1" applyProtection="1">
      <alignment horizontal="center" vertical="center" wrapText="1"/>
      <protection hidden="1"/>
    </xf>
    <xf numFmtId="0" fontId="13" fillId="6" borderId="32" xfId="0" applyFont="1" applyFill="1" applyBorder="1" applyAlignment="1" applyProtection="1">
      <alignment horizontal="center" vertical="center" wrapText="1"/>
      <protection hidden="1"/>
    </xf>
    <xf numFmtId="0" fontId="2" fillId="10" borderId="51" xfId="2" applyFill="1" applyBorder="1" applyAlignment="1" applyProtection="1">
      <alignment horizontal="left" vertical="center" wrapText="1" indent="7"/>
      <protection hidden="1"/>
    </xf>
    <xf numFmtId="0" fontId="2" fillId="10" borderId="6" xfId="2" applyFill="1" applyBorder="1" applyAlignment="1" applyProtection="1">
      <alignment horizontal="left" vertical="center" wrapText="1" indent="7"/>
      <protection hidden="1"/>
    </xf>
    <xf numFmtId="0" fontId="2" fillId="10" borderId="52" xfId="2" applyFill="1" applyBorder="1" applyAlignment="1" applyProtection="1">
      <alignment horizontal="left" vertical="center" wrapText="1" indent="7"/>
      <protection hidden="1"/>
    </xf>
    <xf numFmtId="0" fontId="21" fillId="2" borderId="0" xfId="2" applyFont="1" applyFill="1" applyAlignment="1" applyProtection="1">
      <alignment horizontal="left" vertical="center" wrapText="1" indent="5"/>
      <protection hidden="1"/>
    </xf>
    <xf numFmtId="0" fontId="2" fillId="2" borderId="0" xfId="2" applyFill="1" applyAlignment="1" applyProtection="1">
      <alignment horizontal="center"/>
      <protection hidden="1"/>
    </xf>
    <xf numFmtId="0" fontId="0" fillId="0" borderId="0" xfId="0" applyAlignment="1" applyProtection="1">
      <alignment horizontal="center"/>
      <protection hidden="1"/>
    </xf>
    <xf numFmtId="0" fontId="2" fillId="2" borderId="0" xfId="0" applyFont="1" applyFill="1" applyAlignment="1">
      <alignment horizontal="left" vertical="center" wrapText="1"/>
    </xf>
    <xf numFmtId="0" fontId="2" fillId="10" borderId="47" xfId="2" applyFill="1" applyBorder="1" applyAlignment="1" applyProtection="1">
      <alignment horizontal="left" vertical="center" wrapText="1" indent="8"/>
      <protection hidden="1"/>
    </xf>
    <xf numFmtId="0" fontId="2" fillId="10" borderId="46" xfId="2" applyFill="1" applyBorder="1" applyAlignment="1" applyProtection="1">
      <alignment horizontal="left" vertical="center" wrapText="1" indent="8"/>
      <protection hidden="1"/>
    </xf>
    <xf numFmtId="0" fontId="2" fillId="10" borderId="48" xfId="2" applyFill="1" applyBorder="1" applyAlignment="1" applyProtection="1">
      <alignment horizontal="left" vertical="center" wrapText="1" indent="8"/>
      <protection hidden="1"/>
    </xf>
    <xf numFmtId="0" fontId="2" fillId="10" borderId="49" xfId="2" applyFill="1" applyBorder="1" applyAlignment="1" applyProtection="1">
      <alignment horizontal="left" vertical="center" indent="8"/>
      <protection hidden="1"/>
    </xf>
    <xf numFmtId="0" fontId="2" fillId="10" borderId="50" xfId="2" applyFill="1" applyBorder="1" applyAlignment="1" applyProtection="1">
      <alignment horizontal="left" vertical="center" indent="8"/>
      <protection hidden="1"/>
    </xf>
    <xf numFmtId="0" fontId="78" fillId="15" borderId="28" xfId="0" applyFont="1" applyFill="1" applyBorder="1" applyAlignment="1">
      <alignment horizontal="center" vertical="center" wrapText="1"/>
    </xf>
    <xf numFmtId="0" fontId="20" fillId="27" borderId="3" xfId="2" applyFont="1" applyFill="1" applyBorder="1" applyAlignment="1" applyProtection="1">
      <alignment horizontal="center"/>
      <protection hidden="1"/>
    </xf>
    <xf numFmtId="0" fontId="21" fillId="10" borderId="36" xfId="2" applyFont="1" applyFill="1" applyBorder="1" applyAlignment="1" applyProtection="1">
      <alignment horizontal="left" vertical="center" wrapText="1" indent="6"/>
      <protection hidden="1"/>
    </xf>
    <xf numFmtId="0" fontId="21" fillId="10" borderId="37" xfId="2" applyFont="1" applyFill="1" applyBorder="1" applyAlignment="1" applyProtection="1">
      <alignment horizontal="left" vertical="center" wrapText="1" indent="6"/>
      <protection hidden="1"/>
    </xf>
    <xf numFmtId="0" fontId="21" fillId="10" borderId="38" xfId="2" applyFont="1" applyFill="1" applyBorder="1" applyAlignment="1" applyProtection="1">
      <alignment horizontal="left" vertical="center" wrapText="1" indent="6"/>
      <protection hidden="1"/>
    </xf>
    <xf numFmtId="0" fontId="13" fillId="6" borderId="4" xfId="0" applyFont="1" applyFill="1" applyBorder="1" applyAlignment="1" applyProtection="1">
      <alignment horizontal="center" vertical="center"/>
      <protection hidden="1"/>
    </xf>
    <xf numFmtId="0" fontId="2" fillId="4" borderId="29" xfId="2" applyFill="1" applyBorder="1" applyAlignment="1" applyProtection="1">
      <alignment horizontal="left" indent="1"/>
      <protection hidden="1"/>
    </xf>
    <xf numFmtId="0" fontId="2" fillId="4" borderId="30" xfId="2" applyFill="1" applyBorder="1" applyAlignment="1" applyProtection="1">
      <alignment horizontal="left" indent="1"/>
      <protection hidden="1"/>
    </xf>
    <xf numFmtId="0" fontId="13" fillId="6" borderId="10" xfId="0" applyFont="1" applyFill="1" applyBorder="1" applyAlignment="1" applyProtection="1">
      <alignment horizontal="center" vertical="center"/>
      <protection hidden="1"/>
    </xf>
    <xf numFmtId="0" fontId="48" fillId="3" borderId="0" xfId="2" applyFont="1" applyFill="1" applyAlignment="1">
      <alignment horizontal="left" vertical="center" wrapText="1"/>
    </xf>
    <xf numFmtId="0" fontId="118" fillId="10" borderId="10" xfId="3" applyFont="1" applyFill="1" applyBorder="1" applyAlignment="1">
      <alignment horizontal="left" vertical="center" indent="1"/>
    </xf>
    <xf numFmtId="0" fontId="118" fillId="10" borderId="8" xfId="3" applyFont="1" applyFill="1" applyBorder="1" applyAlignment="1">
      <alignment horizontal="left" vertical="center" indent="1"/>
    </xf>
    <xf numFmtId="0" fontId="49" fillId="3" borderId="29" xfId="0" applyFont="1" applyFill="1" applyBorder="1" applyAlignment="1" applyProtection="1">
      <alignment horizontal="left" vertical="center" indent="1"/>
      <protection hidden="1"/>
    </xf>
    <xf numFmtId="0" fontId="49" fillId="3" borderId="31" xfId="0" applyFont="1" applyFill="1" applyBorder="1" applyAlignment="1" applyProtection="1">
      <alignment horizontal="left" vertical="center" indent="1"/>
      <protection hidden="1"/>
    </xf>
    <xf numFmtId="0" fontId="49" fillId="3" borderId="32" xfId="0" applyFont="1" applyFill="1" applyBorder="1" applyAlignment="1" applyProtection="1">
      <alignment horizontal="left" vertical="center" indent="1"/>
      <protection hidden="1"/>
    </xf>
    <xf numFmtId="0" fontId="49" fillId="3" borderId="33" xfId="0" applyFont="1" applyFill="1" applyBorder="1" applyAlignment="1" applyProtection="1">
      <alignment horizontal="left" vertical="center" indent="1"/>
      <protection hidden="1"/>
    </xf>
    <xf numFmtId="0" fontId="5" fillId="3" borderId="0" xfId="2" applyFont="1" applyFill="1" applyAlignment="1" applyProtection="1">
      <alignment horizontal="left" vertical="center" wrapText="1"/>
      <protection hidden="1"/>
    </xf>
    <xf numFmtId="0" fontId="49" fillId="3" borderId="4" xfId="0" applyFont="1" applyFill="1" applyBorder="1" applyAlignment="1" applyProtection="1">
      <alignment horizontal="center" vertical="center" wrapText="1"/>
      <protection hidden="1"/>
    </xf>
    <xf numFmtId="0" fontId="65" fillId="2" borderId="6" xfId="2" applyFont="1" applyFill="1" applyBorder="1" applyAlignment="1" applyProtection="1">
      <alignment horizontal="right" vertical="center" wrapText="1"/>
      <protection hidden="1"/>
    </xf>
    <xf numFmtId="0" fontId="60" fillId="11" borderId="47" xfId="2" applyFont="1" applyFill="1" applyBorder="1" applyAlignment="1" applyProtection="1">
      <alignment horizontal="left" vertical="center" wrapText="1" indent="1"/>
      <protection hidden="1"/>
    </xf>
    <xf numFmtId="0" fontId="60" fillId="11" borderId="46" xfId="2" applyFont="1" applyFill="1" applyBorder="1" applyAlignment="1" applyProtection="1">
      <alignment horizontal="left" vertical="center" wrapText="1" indent="1"/>
      <protection hidden="1"/>
    </xf>
    <xf numFmtId="0" fontId="60" fillId="11" borderId="48" xfId="2" applyFont="1" applyFill="1" applyBorder="1" applyAlignment="1" applyProtection="1">
      <alignment horizontal="left" vertical="center" wrapText="1" indent="1"/>
      <protection hidden="1"/>
    </xf>
    <xf numFmtId="0" fontId="60" fillId="11" borderId="49" xfId="2" applyFont="1" applyFill="1" applyBorder="1" applyAlignment="1" applyProtection="1">
      <alignment horizontal="left" vertical="center" wrapText="1" indent="1"/>
      <protection hidden="1"/>
    </xf>
    <xf numFmtId="0" fontId="60" fillId="11" borderId="50" xfId="2" applyFont="1" applyFill="1" applyBorder="1" applyAlignment="1" applyProtection="1">
      <alignment horizontal="left" vertical="center" wrapText="1" indent="1"/>
      <protection hidden="1"/>
    </xf>
    <xf numFmtId="0" fontId="60" fillId="11" borderId="51" xfId="2" applyFont="1" applyFill="1" applyBorder="1" applyAlignment="1" applyProtection="1">
      <alignment horizontal="left" vertical="center" wrapText="1" indent="1"/>
      <protection hidden="1"/>
    </xf>
    <xf numFmtId="0" fontId="60" fillId="11" borderId="6" xfId="2" applyFont="1" applyFill="1" applyBorder="1" applyAlignment="1" applyProtection="1">
      <alignment horizontal="left" vertical="center" wrapText="1" indent="1"/>
      <protection hidden="1"/>
    </xf>
    <xf numFmtId="0" fontId="60" fillId="11" borderId="52" xfId="2" applyFont="1" applyFill="1" applyBorder="1" applyAlignment="1" applyProtection="1">
      <alignment horizontal="left" vertical="center" wrapText="1" indent="1"/>
      <protection hidden="1"/>
    </xf>
    <xf numFmtId="0" fontId="19" fillId="3" borderId="25" xfId="2" applyFont="1" applyFill="1" applyBorder="1" applyAlignment="1" applyProtection="1">
      <alignment horizontal="left" vertical="center" wrapText="1" indent="1"/>
      <protection hidden="1"/>
    </xf>
    <xf numFmtId="0" fontId="19" fillId="3" borderId="26" xfId="2" applyFont="1" applyFill="1" applyBorder="1" applyAlignment="1" applyProtection="1">
      <alignment horizontal="left" vertical="center" wrapText="1" indent="1"/>
      <protection hidden="1"/>
    </xf>
    <xf numFmtId="0" fontId="10" fillId="3" borderId="0" xfId="0" applyFont="1" applyFill="1" applyBorder="1" applyAlignment="1" applyProtection="1">
      <alignment horizontal="left" vertical="center" indent="1"/>
      <protection hidden="1"/>
    </xf>
    <xf numFmtId="0" fontId="11" fillId="3" borderId="10"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13" fillId="3" borderId="10" xfId="0" applyFont="1" applyFill="1" applyBorder="1" applyAlignment="1" applyProtection="1">
      <alignment horizontal="left" vertical="center" indent="1"/>
      <protection hidden="1"/>
    </xf>
    <xf numFmtId="0" fontId="13" fillId="3" borderId="7" xfId="0" applyFont="1" applyFill="1" applyBorder="1" applyAlignment="1" applyProtection="1">
      <alignment horizontal="left" vertical="center" indent="1"/>
      <protection hidden="1"/>
    </xf>
    <xf numFmtId="0" fontId="13" fillId="3" borderId="7" xfId="0" applyFont="1" applyFill="1" applyBorder="1" applyAlignment="1" applyProtection="1">
      <alignment horizontal="center" vertical="center"/>
      <protection hidden="1"/>
    </xf>
    <xf numFmtId="0" fontId="13" fillId="3" borderId="8" xfId="0" applyFont="1" applyFill="1" applyBorder="1" applyAlignment="1" applyProtection="1">
      <alignment horizontal="center" vertical="center"/>
      <protection hidden="1"/>
    </xf>
    <xf numFmtId="0" fontId="38" fillId="3" borderId="0" xfId="0" applyFont="1" applyFill="1" applyBorder="1" applyAlignment="1" applyProtection="1">
      <alignment horizontal="left" vertical="center" indent="1"/>
      <protection hidden="1"/>
    </xf>
    <xf numFmtId="0" fontId="11" fillId="3" borderId="32" xfId="2" applyFont="1" applyFill="1" applyBorder="1" applyAlignment="1" applyProtection="1">
      <alignment horizontal="left" vertical="center" wrapText="1" indent="1"/>
      <protection hidden="1"/>
    </xf>
    <xf numFmtId="0" fontId="11" fillId="3" borderId="3" xfId="2" applyFont="1" applyFill="1" applyBorder="1" applyAlignment="1" applyProtection="1">
      <alignment horizontal="left" vertical="center" wrapText="1" indent="1"/>
      <protection hidden="1"/>
    </xf>
    <xf numFmtId="0" fontId="9" fillId="3" borderId="0" xfId="0" applyFont="1" applyFill="1" applyBorder="1" applyAlignment="1" applyProtection="1">
      <alignment horizontal="left" vertical="center" indent="1"/>
      <protection hidden="1"/>
    </xf>
    <xf numFmtId="0" fontId="8" fillId="18" borderId="26" xfId="2" applyFont="1" applyFill="1" applyBorder="1" applyAlignment="1" applyProtection="1">
      <alignment horizontal="center"/>
      <protection hidden="1"/>
    </xf>
    <xf numFmtId="0" fontId="8" fillId="20" borderId="25" xfId="2" applyFont="1" applyFill="1" applyBorder="1" applyAlignment="1" applyProtection="1">
      <alignment horizontal="center" vertical="center"/>
      <protection locked="0"/>
    </xf>
    <xf numFmtId="0" fontId="8" fillId="20" borderId="26" xfId="2" applyFont="1" applyFill="1" applyBorder="1" applyAlignment="1" applyProtection="1">
      <alignment horizontal="center" vertical="center"/>
      <protection locked="0"/>
    </xf>
    <xf numFmtId="0" fontId="8" fillId="20" borderId="27" xfId="2" applyFont="1" applyFill="1" applyBorder="1" applyAlignment="1" applyProtection="1">
      <alignment horizontal="center" vertical="center"/>
      <protection locked="0"/>
    </xf>
    <xf numFmtId="0" fontId="16" fillId="3" borderId="41" xfId="0" applyFont="1" applyFill="1" applyBorder="1" applyAlignment="1" applyProtection="1">
      <alignment horizontal="center" vertical="center"/>
      <protection hidden="1"/>
    </xf>
    <xf numFmtId="0" fontId="2" fillId="4" borderId="29" xfId="0" applyFont="1" applyFill="1" applyBorder="1" applyAlignment="1" applyProtection="1">
      <alignment horizontal="left" vertical="center" wrapText="1"/>
      <protection hidden="1"/>
    </xf>
    <xf numFmtId="0" fontId="2" fillId="4" borderId="30" xfId="0" applyFont="1" applyFill="1" applyBorder="1" applyAlignment="1" applyProtection="1">
      <alignment horizontal="left" vertical="center" wrapText="1"/>
      <protection hidden="1"/>
    </xf>
    <xf numFmtId="0" fontId="2" fillId="4" borderId="31" xfId="0" applyFont="1" applyFill="1" applyBorder="1" applyAlignment="1" applyProtection="1">
      <alignment horizontal="left" vertical="center" wrapText="1"/>
      <protection hidden="1"/>
    </xf>
    <xf numFmtId="0" fontId="2" fillId="20" borderId="3" xfId="0" applyFont="1" applyFill="1" applyBorder="1" applyAlignment="1" applyProtection="1">
      <alignment horizontal="left" vertical="center" wrapText="1" indent="1"/>
      <protection locked="0"/>
    </xf>
    <xf numFmtId="0" fontId="2" fillId="20" borderId="33" xfId="0" applyFont="1" applyFill="1" applyBorder="1" applyAlignment="1" applyProtection="1">
      <alignment horizontal="left" vertical="center" wrapText="1" indent="1"/>
      <protection locked="0"/>
    </xf>
    <xf numFmtId="0" fontId="16" fillId="3" borderId="55" xfId="0" applyFont="1" applyFill="1" applyBorder="1" applyAlignment="1" applyProtection="1">
      <alignment horizontal="center" vertical="center"/>
      <protection hidden="1"/>
    </xf>
    <xf numFmtId="0" fontId="16" fillId="3" borderId="56" xfId="0" applyFont="1" applyFill="1" applyBorder="1" applyAlignment="1" applyProtection="1">
      <alignment horizontal="center" vertical="center"/>
      <protection hidden="1"/>
    </xf>
    <xf numFmtId="0" fontId="2" fillId="10" borderId="22" xfId="2" applyFill="1" applyBorder="1" applyAlignment="1" applyProtection="1">
      <alignment horizontal="left" indent="7"/>
      <protection hidden="1"/>
    </xf>
    <xf numFmtId="0" fontId="2" fillId="10" borderId="23" xfId="2" applyFill="1" applyBorder="1" applyAlignment="1" applyProtection="1">
      <alignment horizontal="left" indent="7"/>
      <protection hidden="1"/>
    </xf>
    <xf numFmtId="0" fontId="2" fillId="10" borderId="24" xfId="2" applyFill="1" applyBorder="1" applyAlignment="1" applyProtection="1">
      <alignment horizontal="left" indent="7"/>
      <protection hidden="1"/>
    </xf>
    <xf numFmtId="0" fontId="11" fillId="3" borderId="10" xfId="2" applyFont="1" applyFill="1" applyBorder="1" applyAlignment="1" applyProtection="1">
      <alignment horizontal="left" vertical="center" wrapText="1" indent="1"/>
      <protection hidden="1"/>
    </xf>
    <xf numFmtId="0" fontId="11" fillId="3" borderId="8" xfId="2" applyFont="1" applyFill="1" applyBorder="1" applyAlignment="1" applyProtection="1">
      <alignment horizontal="left" vertical="center" wrapText="1" indent="1"/>
      <protection hidden="1"/>
    </xf>
    <xf numFmtId="0" fontId="19" fillId="3" borderId="2" xfId="2" applyFont="1" applyFill="1" applyBorder="1" applyAlignment="1" applyProtection="1">
      <alignment horizontal="left" vertical="center" wrapText="1" indent="1"/>
      <protection hidden="1"/>
    </xf>
    <xf numFmtId="0" fontId="21" fillId="22" borderId="2" xfId="2" applyFont="1" applyFill="1" applyBorder="1" applyAlignment="1" applyProtection="1">
      <alignment horizontal="left" vertical="center" wrapText="1" indent="1"/>
      <protection hidden="1"/>
    </xf>
    <xf numFmtId="0" fontId="14" fillId="20" borderId="32" xfId="0" applyFont="1" applyFill="1" applyBorder="1" applyAlignment="1" applyProtection="1">
      <alignment horizontal="left" vertical="center" wrapText="1" indent="1"/>
      <protection locked="0"/>
    </xf>
    <xf numFmtId="0" fontId="14" fillId="20" borderId="3" xfId="0" applyFont="1" applyFill="1" applyBorder="1" applyAlignment="1" applyProtection="1">
      <alignment horizontal="left" vertical="center" wrapText="1" indent="1"/>
      <protection locked="0"/>
    </xf>
    <xf numFmtId="0" fontId="14" fillId="20" borderId="33" xfId="0" applyFont="1" applyFill="1" applyBorder="1" applyAlignment="1" applyProtection="1">
      <alignment horizontal="left" vertical="center" wrapText="1" indent="1"/>
      <protection locked="0"/>
    </xf>
    <xf numFmtId="0" fontId="2" fillId="10" borderId="36" xfId="2" applyFill="1" applyBorder="1" applyAlignment="1" applyProtection="1">
      <alignment horizontal="left" vertical="center" wrapText="1" indent="6"/>
      <protection hidden="1"/>
    </xf>
    <xf numFmtId="0" fontId="2" fillId="10" borderId="37" xfId="2" applyFill="1" applyBorder="1" applyAlignment="1" applyProtection="1">
      <alignment horizontal="left" vertical="center" wrapText="1" indent="6"/>
      <protection hidden="1"/>
    </xf>
    <xf numFmtId="0" fontId="2" fillId="10" borderId="38" xfId="2" applyFill="1" applyBorder="1" applyAlignment="1" applyProtection="1">
      <alignment horizontal="left" vertical="center" wrapText="1" indent="6"/>
      <protection hidden="1"/>
    </xf>
    <xf numFmtId="0" fontId="11" fillId="3" borderId="29" xfId="2" applyFont="1" applyFill="1" applyBorder="1" applyAlignment="1" applyProtection="1">
      <alignment horizontal="left" vertical="center" wrapText="1" indent="1"/>
      <protection hidden="1"/>
    </xf>
    <xf numFmtId="0" fontId="11" fillId="3" borderId="30" xfId="2" applyFont="1" applyFill="1" applyBorder="1" applyAlignment="1" applyProtection="1">
      <alignment horizontal="left" vertical="center" wrapText="1" indent="1"/>
      <protection hidden="1"/>
    </xf>
    <xf numFmtId="0" fontId="11" fillId="3" borderId="31" xfId="2" applyFont="1" applyFill="1" applyBorder="1" applyAlignment="1" applyProtection="1">
      <alignment horizontal="left" vertical="center" wrapText="1" indent="1"/>
      <protection hidden="1"/>
    </xf>
    <xf numFmtId="0" fontId="11" fillId="3" borderId="4" xfId="2" applyFont="1" applyFill="1" applyBorder="1" applyAlignment="1" applyProtection="1">
      <alignment horizontal="center" vertical="center" wrapText="1"/>
      <protection hidden="1"/>
    </xf>
    <xf numFmtId="0" fontId="48" fillId="5" borderId="30" xfId="2" applyFont="1" applyFill="1" applyBorder="1" applyAlignment="1">
      <alignment horizontal="left" vertical="center" wrapText="1"/>
    </xf>
    <xf numFmtId="0" fontId="48" fillId="5" borderId="0" xfId="2" applyFont="1" applyFill="1" applyBorder="1" applyAlignment="1">
      <alignment horizontal="left" vertical="center" wrapText="1"/>
    </xf>
    <xf numFmtId="0" fontId="49" fillId="5" borderId="29" xfId="0" applyFont="1" applyFill="1" applyBorder="1" applyAlignment="1" applyProtection="1">
      <alignment horizontal="left" vertical="center" indent="1"/>
      <protection hidden="1"/>
    </xf>
    <xf numFmtId="0" fontId="49" fillId="5" borderId="31" xfId="0" applyFont="1" applyFill="1" applyBorder="1" applyAlignment="1" applyProtection="1">
      <alignment horizontal="left" vertical="center" indent="1"/>
      <protection hidden="1"/>
    </xf>
    <xf numFmtId="0" fontId="49" fillId="5" borderId="32" xfId="0" applyFont="1" applyFill="1" applyBorder="1" applyAlignment="1" applyProtection="1">
      <alignment horizontal="left" vertical="center" indent="1"/>
      <protection hidden="1"/>
    </xf>
    <xf numFmtId="0" fontId="49" fillId="5" borderId="33" xfId="0" applyFont="1" applyFill="1" applyBorder="1" applyAlignment="1" applyProtection="1">
      <alignment horizontal="left" vertical="center" indent="1"/>
      <protection hidden="1"/>
    </xf>
    <xf numFmtId="0" fontId="49" fillId="5" borderId="4" xfId="0" applyFont="1" applyFill="1" applyBorder="1" applyAlignment="1" applyProtection="1">
      <alignment horizontal="center" vertical="center" wrapText="1"/>
      <protection hidden="1"/>
    </xf>
    <xf numFmtId="0" fontId="120" fillId="10" borderId="10" xfId="3" applyFont="1" applyFill="1" applyBorder="1" applyAlignment="1">
      <alignment horizontal="left" vertical="center" indent="1"/>
    </xf>
    <xf numFmtId="0" fontId="120" fillId="10" borderId="8" xfId="3" applyFont="1" applyFill="1" applyBorder="1" applyAlignment="1">
      <alignment horizontal="left" vertical="center" indent="1"/>
    </xf>
    <xf numFmtId="0" fontId="5" fillId="5" borderId="0" xfId="2" applyFont="1" applyFill="1" applyBorder="1" applyAlignment="1">
      <alignment horizontal="left" vertical="top" wrapText="1"/>
    </xf>
    <xf numFmtId="0" fontId="10" fillId="5" borderId="0" xfId="0" applyFont="1" applyFill="1" applyBorder="1" applyAlignment="1" applyProtection="1">
      <alignment horizontal="left" vertical="center" indent="1"/>
      <protection hidden="1"/>
    </xf>
    <xf numFmtId="0" fontId="16" fillId="5" borderId="41" xfId="0" applyFont="1" applyFill="1" applyBorder="1" applyAlignment="1" applyProtection="1">
      <alignment horizontal="center" vertical="center"/>
      <protection hidden="1"/>
    </xf>
    <xf numFmtId="0" fontId="13" fillId="5" borderId="10" xfId="0" applyFont="1" applyFill="1" applyBorder="1" applyAlignment="1" applyProtection="1">
      <alignment horizontal="left" vertical="center" indent="1"/>
      <protection hidden="1"/>
    </xf>
    <xf numFmtId="0" fontId="13" fillId="5" borderId="7" xfId="0" applyFont="1" applyFill="1" applyBorder="1" applyAlignment="1" applyProtection="1">
      <alignment horizontal="left" vertical="center" indent="1"/>
      <protection hidden="1"/>
    </xf>
    <xf numFmtId="0" fontId="13" fillId="5" borderId="30" xfId="0" applyFont="1" applyFill="1" applyBorder="1" applyAlignment="1" applyProtection="1">
      <alignment horizontal="center" vertical="center"/>
      <protection hidden="1"/>
    </xf>
    <xf numFmtId="0" fontId="13" fillId="5" borderId="31" xfId="0" applyFont="1" applyFill="1" applyBorder="1" applyAlignment="1" applyProtection="1">
      <alignment horizontal="center" vertical="center"/>
      <protection hidden="1"/>
    </xf>
    <xf numFmtId="0" fontId="9" fillId="5" borderId="0" xfId="0" applyFont="1" applyFill="1" applyBorder="1" applyAlignment="1" applyProtection="1">
      <alignment horizontal="left" vertical="center" indent="1"/>
      <protection hidden="1"/>
    </xf>
    <xf numFmtId="0" fontId="11" fillId="5" borderId="10" xfId="0" applyFont="1" applyFill="1" applyBorder="1" applyAlignment="1" applyProtection="1">
      <alignment horizontal="left" vertical="center" wrapText="1" indent="1"/>
      <protection hidden="1"/>
    </xf>
    <xf numFmtId="0" fontId="11" fillId="5" borderId="8" xfId="0" applyFont="1" applyFill="1" applyBorder="1" applyAlignment="1" applyProtection="1">
      <alignment horizontal="left" vertical="center" wrapText="1" indent="1"/>
      <protection hidden="1"/>
    </xf>
    <xf numFmtId="0" fontId="19" fillId="5" borderId="25" xfId="2" applyFont="1" applyFill="1" applyBorder="1" applyAlignment="1" applyProtection="1">
      <alignment horizontal="left" vertical="center" wrapText="1" indent="1"/>
      <protection hidden="1"/>
    </xf>
    <xf numFmtId="0" fontId="19" fillId="5" borderId="26" xfId="2" applyFont="1" applyFill="1" applyBorder="1" applyAlignment="1" applyProtection="1">
      <alignment horizontal="left" vertical="center" wrapText="1" indent="1"/>
      <protection hidden="1"/>
    </xf>
    <xf numFmtId="0" fontId="14" fillId="20" borderId="29" xfId="0" applyFont="1" applyFill="1" applyBorder="1" applyAlignment="1" applyProtection="1">
      <alignment horizontal="left" vertical="center" wrapText="1" indent="1"/>
      <protection locked="0"/>
    </xf>
    <xf numFmtId="0" fontId="14" fillId="20" borderId="31" xfId="0" applyFont="1" applyFill="1" applyBorder="1" applyAlignment="1" applyProtection="1">
      <alignment horizontal="left" vertical="center" wrapText="1" indent="1"/>
      <protection locked="0"/>
    </xf>
    <xf numFmtId="0" fontId="14" fillId="20" borderId="10" xfId="0" applyFont="1" applyFill="1" applyBorder="1" applyAlignment="1" applyProtection="1">
      <alignment horizontal="left" vertical="top" wrapText="1" indent="1"/>
      <protection locked="0"/>
    </xf>
    <xf numFmtId="0" fontId="14" fillId="20" borderId="7" xfId="0" applyFont="1" applyFill="1" applyBorder="1" applyAlignment="1" applyProtection="1">
      <alignment horizontal="left" vertical="top" wrapText="1" indent="1"/>
      <protection locked="0"/>
    </xf>
    <xf numFmtId="0" fontId="14" fillId="20" borderId="8" xfId="0" applyFont="1" applyFill="1" applyBorder="1" applyAlignment="1" applyProtection="1">
      <alignment horizontal="left" vertical="top" wrapText="1" indent="1"/>
      <protection locked="0"/>
    </xf>
    <xf numFmtId="0" fontId="2" fillId="4" borderId="55" xfId="2" applyFont="1" applyFill="1" applyBorder="1" applyAlignment="1" applyProtection="1">
      <alignment horizontal="left" vertical="center" wrapText="1"/>
    </xf>
    <xf numFmtId="0" fontId="2" fillId="4" borderId="59" xfId="2" applyFont="1" applyFill="1" applyBorder="1" applyAlignment="1" applyProtection="1">
      <alignment horizontal="left" vertical="center" wrapText="1"/>
    </xf>
    <xf numFmtId="0" fontId="2" fillId="4" borderId="56" xfId="2" applyFont="1" applyFill="1" applyBorder="1" applyAlignment="1" applyProtection="1">
      <alignment horizontal="left" vertical="center" wrapText="1"/>
    </xf>
    <xf numFmtId="0" fontId="11" fillId="5" borderId="55" xfId="2" applyFont="1" applyFill="1" applyBorder="1" applyAlignment="1" applyProtection="1">
      <alignment horizontal="center" vertical="center"/>
      <protection hidden="1"/>
    </xf>
    <xf numFmtId="0" fontId="11" fillId="5" borderId="59" xfId="2" applyFont="1" applyFill="1" applyBorder="1" applyAlignment="1" applyProtection="1">
      <alignment horizontal="center" vertical="center"/>
      <protection hidden="1"/>
    </xf>
    <xf numFmtId="0" fontId="11" fillId="5" borderId="56" xfId="2" applyFont="1" applyFill="1" applyBorder="1" applyAlignment="1" applyProtection="1">
      <alignment horizontal="center" vertical="center"/>
      <protection hidden="1"/>
    </xf>
    <xf numFmtId="0" fontId="38" fillId="5" borderId="0" xfId="0" applyFont="1" applyFill="1" applyBorder="1" applyAlignment="1" applyProtection="1">
      <alignment horizontal="left" vertical="center" indent="1"/>
      <protection hidden="1"/>
    </xf>
    <xf numFmtId="0" fontId="2" fillId="20" borderId="98" xfId="2" applyFont="1" applyFill="1" applyBorder="1" applyAlignment="1" applyProtection="1">
      <alignment horizontal="left" vertical="center" wrapText="1"/>
      <protection locked="0"/>
    </xf>
    <xf numFmtId="0" fontId="2" fillId="20" borderId="99" xfId="2" applyFont="1" applyFill="1" applyBorder="1" applyAlignment="1" applyProtection="1">
      <alignment horizontal="left" vertical="center" wrapText="1"/>
      <protection locked="0"/>
    </xf>
    <xf numFmtId="0" fontId="2" fillId="20" borderId="100" xfId="2" applyFont="1" applyFill="1" applyBorder="1" applyAlignment="1" applyProtection="1">
      <alignment horizontal="left" vertical="center" wrapText="1"/>
      <protection locked="0"/>
    </xf>
    <xf numFmtId="0" fontId="14" fillId="20" borderId="4" xfId="0" applyFont="1" applyFill="1" applyBorder="1" applyAlignment="1" applyProtection="1">
      <alignment horizontal="left" vertical="center" wrapText="1"/>
      <protection locked="0"/>
    </xf>
    <xf numFmtId="0" fontId="14" fillId="20" borderId="10" xfId="0" applyFont="1" applyFill="1" applyBorder="1" applyAlignment="1" applyProtection="1">
      <alignment vertical="center" wrapText="1"/>
      <protection locked="0"/>
    </xf>
    <xf numFmtId="0" fontId="14" fillId="20" borderId="7" xfId="0" applyFont="1" applyFill="1" applyBorder="1" applyAlignment="1" applyProtection="1">
      <alignment vertical="center" wrapText="1"/>
      <protection locked="0"/>
    </xf>
    <xf numFmtId="0" fontId="14" fillId="20" borderId="8" xfId="0" applyFont="1" applyFill="1" applyBorder="1" applyAlignment="1" applyProtection="1">
      <alignment vertical="center" wrapText="1"/>
      <protection locked="0"/>
    </xf>
    <xf numFmtId="0" fontId="11" fillId="5" borderId="35" xfId="0" applyFont="1" applyFill="1" applyBorder="1" applyAlignment="1" applyProtection="1">
      <alignment horizontal="left" vertical="center" wrapText="1" indent="1"/>
      <protection hidden="1"/>
    </xf>
    <xf numFmtId="0" fontId="11" fillId="5" borderId="0" xfId="0" applyFont="1" applyFill="1" applyBorder="1" applyAlignment="1" applyProtection="1">
      <alignment horizontal="left" vertical="center" wrapText="1" indent="1"/>
      <protection hidden="1"/>
    </xf>
    <xf numFmtId="0" fontId="16" fillId="5" borderId="41" xfId="0" applyFont="1" applyFill="1" applyBorder="1" applyAlignment="1" applyProtection="1">
      <alignment horizontal="center" vertical="center" wrapText="1"/>
      <protection hidden="1"/>
    </xf>
    <xf numFmtId="0" fontId="2" fillId="10" borderId="98" xfId="2" applyFont="1" applyFill="1" applyBorder="1" applyAlignment="1" applyProtection="1">
      <alignment horizontal="left" vertical="center" wrapText="1"/>
    </xf>
    <xf numFmtId="0" fontId="2" fillId="10" borderId="99" xfId="2" applyFont="1" applyFill="1" applyBorder="1" applyAlignment="1" applyProtection="1">
      <alignment horizontal="left" vertical="center" wrapText="1"/>
    </xf>
    <xf numFmtId="0" fontId="2" fillId="10" borderId="100" xfId="2" applyFont="1" applyFill="1" applyBorder="1" applyAlignment="1" applyProtection="1">
      <alignment horizontal="left" vertical="center" wrapText="1"/>
    </xf>
    <xf numFmtId="0" fontId="14" fillId="20" borderId="10" xfId="0" applyFont="1" applyFill="1" applyBorder="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0" fontId="21" fillId="2" borderId="0" xfId="2" applyFont="1" applyFill="1" applyBorder="1" applyAlignment="1" applyProtection="1">
      <alignment horizontal="left" vertical="center" wrapText="1" indent="5"/>
      <protection hidden="1"/>
    </xf>
    <xf numFmtId="0" fontId="11" fillId="5" borderId="153" xfId="2" applyFont="1" applyFill="1" applyBorder="1" applyAlignment="1" applyProtection="1">
      <alignment horizontal="center" vertical="center"/>
      <protection hidden="1"/>
    </xf>
    <xf numFmtId="0" fontId="11" fillId="5" borderId="99" xfId="2" applyFont="1" applyFill="1" applyBorder="1" applyAlignment="1" applyProtection="1">
      <alignment horizontal="center" vertical="center"/>
      <protection hidden="1"/>
    </xf>
    <xf numFmtId="0" fontId="11" fillId="5" borderId="154" xfId="2" applyFont="1" applyFill="1" applyBorder="1" applyAlignment="1" applyProtection="1">
      <alignment horizontal="center" vertical="center"/>
      <protection hidden="1"/>
    </xf>
    <xf numFmtId="0" fontId="2" fillId="20" borderId="4" xfId="2" applyFont="1" applyFill="1" applyBorder="1" applyAlignment="1" applyProtection="1">
      <alignment horizontal="left" vertical="center" wrapText="1"/>
      <protection locked="0"/>
    </xf>
    <xf numFmtId="0" fontId="11" fillId="5" borderId="4" xfId="2" applyFont="1" applyFill="1" applyBorder="1" applyAlignment="1" applyProtection="1">
      <alignment horizontal="left" vertical="center"/>
      <protection hidden="1"/>
    </xf>
    <xf numFmtId="0" fontId="2" fillId="20" borderId="4" xfId="2" applyFill="1" applyBorder="1" applyAlignment="1" applyProtection="1">
      <alignment horizontal="left" vertical="center" wrapText="1"/>
      <protection locked="0"/>
    </xf>
    <xf numFmtId="0" fontId="2" fillId="4" borderId="101" xfId="2" applyFont="1" applyFill="1" applyBorder="1" applyAlignment="1" applyProtection="1">
      <alignment horizontal="left" vertical="center" wrapText="1"/>
    </xf>
    <xf numFmtId="0" fontId="2" fillId="4" borderId="102" xfId="2" applyFont="1" applyFill="1" applyBorder="1" applyAlignment="1" applyProtection="1">
      <alignment horizontal="left" vertical="center" wrapText="1"/>
    </xf>
    <xf numFmtId="0" fontId="2" fillId="4" borderId="103" xfId="2" applyFont="1" applyFill="1" applyBorder="1" applyAlignment="1" applyProtection="1">
      <alignment horizontal="left" vertical="center" wrapText="1"/>
    </xf>
    <xf numFmtId="0" fontId="11" fillId="5" borderId="7" xfId="0" applyFont="1" applyFill="1" applyBorder="1" applyAlignment="1" applyProtection="1">
      <alignment horizontal="left" vertical="center" wrapText="1" indent="1"/>
      <protection hidden="1"/>
    </xf>
    <xf numFmtId="0" fontId="68" fillId="2" borderId="0" xfId="0" applyFont="1" applyFill="1" applyAlignment="1">
      <alignment horizontal="left" vertical="center" wrapText="1" indent="4"/>
    </xf>
    <xf numFmtId="0" fontId="14" fillId="20" borderId="35" xfId="0" applyFont="1" applyFill="1" applyBorder="1" applyAlignment="1" applyProtection="1">
      <alignment horizontal="left" vertical="center" wrapText="1"/>
      <protection locked="0"/>
    </xf>
    <xf numFmtId="0" fontId="14" fillId="20" borderId="0" xfId="0" applyFont="1" applyFill="1" applyBorder="1" applyAlignment="1" applyProtection="1">
      <alignment horizontal="left" vertical="center" wrapText="1"/>
      <protection locked="0"/>
    </xf>
    <xf numFmtId="0" fontId="2" fillId="10" borderId="47" xfId="2" applyFill="1" applyBorder="1" applyAlignment="1" applyProtection="1">
      <alignment horizontal="left" vertical="center" wrapText="1" indent="7"/>
      <protection hidden="1"/>
    </xf>
    <xf numFmtId="0" fontId="2" fillId="10" borderId="46" xfId="2" applyFill="1" applyBorder="1" applyAlignment="1" applyProtection="1">
      <alignment horizontal="left" vertical="center" wrapText="1" indent="7"/>
      <protection hidden="1"/>
    </xf>
    <xf numFmtId="0" fontId="2" fillId="10" borderId="48" xfId="2" applyFill="1" applyBorder="1" applyAlignment="1" applyProtection="1">
      <alignment horizontal="left" vertical="center" wrapText="1" indent="7"/>
      <protection hidden="1"/>
    </xf>
    <xf numFmtId="0" fontId="2" fillId="10" borderId="49" xfId="2" applyFill="1" applyBorder="1" applyAlignment="1" applyProtection="1">
      <alignment horizontal="left" vertical="center" wrapText="1" indent="7"/>
      <protection hidden="1"/>
    </xf>
    <xf numFmtId="0" fontId="2" fillId="10" borderId="0" xfId="2" applyFill="1" applyBorder="1" applyAlignment="1" applyProtection="1">
      <alignment horizontal="left" vertical="center" wrapText="1" indent="7"/>
      <protection hidden="1"/>
    </xf>
    <xf numFmtId="0" fontId="2" fillId="10" borderId="50" xfId="2" applyFill="1" applyBorder="1" applyAlignment="1" applyProtection="1">
      <alignment horizontal="left" vertical="center" wrapText="1" indent="7"/>
      <protection hidden="1"/>
    </xf>
    <xf numFmtId="0" fontId="4" fillId="5" borderId="0" xfId="2" applyFont="1" applyFill="1" applyAlignment="1" applyProtection="1">
      <alignment horizontal="left" vertical="center" indent="1"/>
      <protection hidden="1"/>
    </xf>
    <xf numFmtId="0" fontId="2" fillId="9" borderId="10" xfId="0" applyFont="1" applyFill="1" applyBorder="1" applyAlignment="1" applyProtection="1">
      <alignment horizontal="left" vertical="center" indent="1"/>
      <protection hidden="1"/>
    </xf>
    <xf numFmtId="0" fontId="2" fillId="9" borderId="7" xfId="0" applyFont="1" applyFill="1" applyBorder="1" applyAlignment="1" applyProtection="1">
      <alignment horizontal="left" vertical="center" indent="1"/>
      <protection hidden="1"/>
    </xf>
    <xf numFmtId="0" fontId="2" fillId="10" borderId="39" xfId="2" applyFill="1" applyBorder="1" applyAlignment="1" applyProtection="1">
      <alignment horizontal="left" wrapText="1" indent="7"/>
      <protection hidden="1"/>
    </xf>
    <xf numFmtId="0" fontId="2" fillId="10" borderId="0" xfId="2" applyFill="1" applyBorder="1" applyAlignment="1" applyProtection="1">
      <alignment horizontal="left" wrapText="1" indent="7"/>
      <protection hidden="1"/>
    </xf>
    <xf numFmtId="0" fontId="2" fillId="10" borderId="40" xfId="2" applyFill="1" applyBorder="1" applyAlignment="1" applyProtection="1">
      <alignment horizontal="left" wrapText="1" indent="7"/>
      <protection hidden="1"/>
    </xf>
    <xf numFmtId="0" fontId="2" fillId="10" borderId="22" xfId="2" applyFill="1" applyBorder="1" applyAlignment="1" applyProtection="1">
      <alignment horizontal="left" vertical="center" wrapText="1" indent="7"/>
      <protection hidden="1"/>
    </xf>
    <xf numFmtId="0" fontId="2" fillId="10" borderId="23" xfId="2" applyFill="1" applyBorder="1" applyAlignment="1" applyProtection="1">
      <alignment horizontal="left" vertical="center" wrapText="1" indent="7"/>
      <protection hidden="1"/>
    </xf>
    <xf numFmtId="0" fontId="2" fillId="10" borderId="24" xfId="2" applyFill="1" applyBorder="1" applyAlignment="1" applyProtection="1">
      <alignment horizontal="left" vertical="center" wrapText="1" indent="7"/>
      <protection hidden="1"/>
    </xf>
    <xf numFmtId="0" fontId="2" fillId="10" borderId="36" xfId="2" applyFill="1" applyBorder="1" applyAlignment="1" applyProtection="1">
      <alignment horizontal="left" vertical="center" indent="7"/>
      <protection hidden="1"/>
    </xf>
    <xf numFmtId="0" fontId="2" fillId="10" borderId="37" xfId="2" applyFill="1" applyBorder="1" applyAlignment="1" applyProtection="1">
      <alignment horizontal="left" vertical="center" indent="7"/>
      <protection hidden="1"/>
    </xf>
    <xf numFmtId="0" fontId="2" fillId="10" borderId="38" xfId="2" applyFill="1" applyBorder="1" applyAlignment="1" applyProtection="1">
      <alignment horizontal="left" vertical="center" indent="7"/>
      <protection hidden="1"/>
    </xf>
    <xf numFmtId="0" fontId="13" fillId="5" borderId="10" xfId="0"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2" fillId="4" borderId="28" xfId="0" applyFont="1" applyFill="1" applyBorder="1" applyAlignment="1" applyProtection="1">
      <alignment horizontal="left" vertical="center" wrapText="1" indent="1"/>
      <protection hidden="1"/>
    </xf>
    <xf numFmtId="0" fontId="13" fillId="5" borderId="8" xfId="0" applyFont="1" applyFill="1" applyBorder="1" applyAlignment="1" applyProtection="1">
      <alignment horizontal="center" vertical="center"/>
      <protection hidden="1"/>
    </xf>
    <xf numFmtId="0" fontId="2" fillId="10" borderId="39" xfId="2" applyFill="1" applyBorder="1" applyAlignment="1" applyProtection="1">
      <alignment horizontal="left" vertical="center" wrapText="1" indent="7"/>
      <protection hidden="1"/>
    </xf>
    <xf numFmtId="0" fontId="2" fillId="10" borderId="40" xfId="2" applyFill="1" applyBorder="1" applyAlignment="1" applyProtection="1">
      <alignment horizontal="left" vertical="center" wrapText="1" indent="7"/>
      <protection hidden="1"/>
    </xf>
    <xf numFmtId="0" fontId="49" fillId="7" borderId="4" xfId="0" applyFont="1" applyFill="1" applyBorder="1" applyAlignment="1" applyProtection="1">
      <alignment horizontal="center" vertical="center" wrapText="1"/>
      <protection hidden="1"/>
    </xf>
    <xf numFmtId="0" fontId="198" fillId="10" borderId="10" xfId="3" applyFont="1" applyFill="1" applyBorder="1" applyAlignment="1">
      <alignment horizontal="left" vertical="center" indent="1"/>
    </xf>
    <xf numFmtId="0" fontId="198" fillId="10" borderId="8" xfId="3" applyFont="1" applyFill="1" applyBorder="1" applyAlignment="1">
      <alignment horizontal="left" vertical="center" indent="1"/>
    </xf>
    <xf numFmtId="0" fontId="5" fillId="7" borderId="32"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3" fillId="10" borderId="34" xfId="0" applyFont="1" applyFill="1" applyBorder="1" applyAlignment="1" applyProtection="1">
      <alignment horizontal="center" vertical="center"/>
      <protection hidden="1"/>
    </xf>
    <xf numFmtId="0" fontId="53" fillId="10" borderId="28" xfId="0" applyFont="1" applyFill="1" applyBorder="1" applyAlignment="1" applyProtection="1">
      <alignment horizontal="center" vertical="center"/>
      <protection hidden="1"/>
    </xf>
    <xf numFmtId="0" fontId="48" fillId="7" borderId="30" xfId="2" applyFont="1" applyFill="1" applyBorder="1" applyAlignment="1">
      <alignment horizontal="left" vertical="center"/>
    </xf>
    <xf numFmtId="0" fontId="48" fillId="7" borderId="0" xfId="2" applyFont="1" applyFill="1" applyBorder="1" applyAlignment="1">
      <alignment horizontal="left" vertical="center"/>
    </xf>
    <xf numFmtId="0" fontId="5" fillId="7" borderId="0" xfId="2" applyFont="1" applyFill="1" applyBorder="1" applyAlignment="1">
      <alignment horizontal="left" vertical="top" wrapText="1"/>
    </xf>
    <xf numFmtId="0" fontId="49" fillId="7" borderId="4" xfId="0" applyFont="1" applyFill="1" applyBorder="1" applyAlignment="1" applyProtection="1">
      <alignment horizontal="left" vertical="center" indent="1"/>
      <protection hidden="1"/>
    </xf>
    <xf numFmtId="0" fontId="2" fillId="20" borderId="5" xfId="0" applyFont="1" applyFill="1" applyBorder="1" applyAlignment="1" applyProtection="1">
      <alignment horizontal="center" vertical="center" wrapText="1"/>
      <protection locked="0"/>
    </xf>
    <xf numFmtId="0" fontId="11" fillId="7" borderId="5" xfId="0" applyFont="1" applyFill="1" applyBorder="1" applyAlignment="1" applyProtection="1">
      <alignment horizontal="center" vertical="center" wrapText="1"/>
      <protection hidden="1"/>
    </xf>
    <xf numFmtId="0" fontId="9" fillId="7" borderId="0" xfId="0" applyFont="1" applyFill="1" applyBorder="1" applyAlignment="1" applyProtection="1">
      <alignment horizontal="left" vertical="center" indent="1"/>
      <protection hidden="1"/>
    </xf>
    <xf numFmtId="0" fontId="10" fillId="7" borderId="0" xfId="0" applyFont="1" applyFill="1" applyBorder="1" applyAlignment="1" applyProtection="1">
      <alignment horizontal="left" vertical="center" indent="1"/>
      <protection hidden="1"/>
    </xf>
    <xf numFmtId="0" fontId="65" fillId="2" borderId="0" xfId="2" applyFont="1" applyFill="1" applyBorder="1" applyAlignment="1" applyProtection="1">
      <alignment horizontal="right" vertical="center" wrapText="1"/>
      <protection hidden="1"/>
    </xf>
    <xf numFmtId="0" fontId="19" fillId="7" borderId="25" xfId="2" applyFont="1" applyFill="1" applyBorder="1" applyAlignment="1" applyProtection="1">
      <alignment horizontal="left" vertical="center" wrapText="1" indent="1"/>
      <protection hidden="1"/>
    </xf>
    <xf numFmtId="0" fontId="19" fillId="7" borderId="26" xfId="2" applyFont="1" applyFill="1" applyBorder="1" applyAlignment="1" applyProtection="1">
      <alignment horizontal="left" vertical="center" wrapText="1" indent="1"/>
      <protection hidden="1"/>
    </xf>
    <xf numFmtId="0" fontId="113" fillId="2" borderId="0" xfId="3" applyFont="1" applyFill="1" applyAlignment="1" applyProtection="1">
      <alignment horizontal="center" vertical="center" wrapText="1"/>
      <protection hidden="1"/>
    </xf>
    <xf numFmtId="0" fontId="113" fillId="2" borderId="0" xfId="3" applyFont="1" applyFill="1" applyBorder="1" applyAlignment="1" applyProtection="1">
      <alignment horizontal="center" vertical="center" wrapText="1"/>
      <protection hidden="1"/>
    </xf>
    <xf numFmtId="0" fontId="13" fillId="7" borderId="10" xfId="0" applyFont="1" applyFill="1" applyBorder="1" applyAlignment="1" applyProtection="1">
      <alignment horizontal="left" vertical="center" indent="1"/>
      <protection hidden="1"/>
    </xf>
    <xf numFmtId="0" fontId="13" fillId="7" borderId="7" xfId="0" applyFont="1" applyFill="1" applyBorder="1" applyAlignment="1" applyProtection="1">
      <alignment horizontal="left" vertical="center" indent="1"/>
      <protection hidden="1"/>
    </xf>
    <xf numFmtId="0" fontId="13" fillId="7" borderId="30" xfId="0" applyFont="1" applyFill="1" applyBorder="1" applyAlignment="1" applyProtection="1">
      <alignment horizontal="center" vertical="center"/>
      <protection hidden="1"/>
    </xf>
    <xf numFmtId="0" fontId="13" fillId="7" borderId="31" xfId="0" applyFont="1" applyFill="1" applyBorder="1" applyAlignment="1" applyProtection="1">
      <alignment horizontal="center" vertical="center"/>
      <protection hidden="1"/>
    </xf>
    <xf numFmtId="0" fontId="2" fillId="20" borderId="5" xfId="0" applyFont="1" applyFill="1" applyBorder="1" applyAlignment="1" applyProtection="1">
      <alignment horizontal="left" vertical="center" wrapText="1"/>
      <protection locked="0"/>
    </xf>
    <xf numFmtId="0" fontId="11" fillId="7" borderId="5" xfId="0" applyFont="1" applyFill="1" applyBorder="1" applyAlignment="1" applyProtection="1">
      <alignment horizontal="left" vertical="center" wrapText="1" indent="1"/>
      <protection hidden="1"/>
    </xf>
    <xf numFmtId="0" fontId="26" fillId="10" borderId="12" xfId="3" applyFill="1" applyBorder="1" applyAlignment="1" applyProtection="1">
      <alignment horizontal="left" vertical="center"/>
      <protection hidden="1"/>
    </xf>
    <xf numFmtId="0" fontId="26" fillId="10" borderId="13" xfId="3" applyFill="1" applyBorder="1" applyAlignment="1" applyProtection="1">
      <alignment horizontal="left" vertical="center"/>
      <protection hidden="1"/>
    </xf>
    <xf numFmtId="0" fontId="26" fillId="10" borderId="11" xfId="3" applyFill="1" applyBorder="1" applyAlignment="1" applyProtection="1">
      <alignment horizontal="left" vertical="center"/>
      <protection hidden="1"/>
    </xf>
    <xf numFmtId="0" fontId="74" fillId="27" borderId="11" xfId="0" applyFont="1" applyFill="1" applyBorder="1" applyAlignment="1" applyProtection="1">
      <alignment horizontal="left" vertical="center"/>
      <protection locked="0"/>
    </xf>
    <xf numFmtId="0" fontId="74" fillId="27" borderId="12" xfId="0" applyFont="1" applyFill="1" applyBorder="1" applyAlignment="1" applyProtection="1">
      <alignment horizontal="left" vertical="center"/>
      <protection locked="0"/>
    </xf>
    <xf numFmtId="0" fontId="74" fillId="27" borderId="13" xfId="0" applyFont="1" applyFill="1" applyBorder="1" applyAlignment="1" applyProtection="1">
      <alignment horizontal="left" vertical="center"/>
      <protection locked="0"/>
    </xf>
    <xf numFmtId="0" fontId="80" fillId="33" borderId="23" xfId="0" applyFont="1" applyFill="1" applyBorder="1" applyAlignment="1" applyProtection="1">
      <alignment horizontal="left" vertical="center" indent="1"/>
      <protection hidden="1"/>
    </xf>
    <xf numFmtId="0" fontId="177" fillId="10" borderId="0" xfId="0" applyFont="1" applyFill="1" applyAlignment="1" applyProtection="1">
      <alignment horizontal="left" vertical="center" wrapText="1" indent="3"/>
      <protection hidden="1"/>
    </xf>
    <xf numFmtId="0" fontId="74" fillId="27" borderId="65" xfId="0" applyFont="1" applyFill="1" applyBorder="1" applyAlignment="1" applyProtection="1">
      <alignment horizontal="left" vertical="center"/>
      <protection locked="0"/>
    </xf>
    <xf numFmtId="0" fontId="74" fillId="27" borderId="14" xfId="0" applyFont="1" applyFill="1" applyBorder="1" applyAlignment="1" applyProtection="1">
      <alignment horizontal="left" vertical="center"/>
      <protection locked="0"/>
    </xf>
    <xf numFmtId="0" fontId="74" fillId="27" borderId="64" xfId="0" applyFont="1" applyFill="1" applyBorder="1" applyAlignment="1" applyProtection="1">
      <alignment horizontal="left" vertical="center"/>
      <protection locked="0"/>
    </xf>
    <xf numFmtId="0" fontId="26" fillId="10" borderId="21" xfId="3" applyFill="1" applyBorder="1" applyAlignment="1" applyProtection="1">
      <alignment horizontal="left" vertical="center"/>
      <protection hidden="1"/>
    </xf>
    <xf numFmtId="0" fontId="26" fillId="10" borderId="105" xfId="3" applyFill="1" applyBorder="1" applyAlignment="1" applyProtection="1">
      <alignment horizontal="left" vertical="center"/>
      <protection hidden="1"/>
    </xf>
    <xf numFmtId="0" fontId="26" fillId="10" borderId="0" xfId="3" applyFill="1" applyBorder="1" applyAlignment="1" applyProtection="1">
      <alignment horizontal="left" vertical="center"/>
      <protection hidden="1"/>
    </xf>
    <xf numFmtId="0" fontId="26" fillId="10" borderId="63" xfId="3" applyFill="1" applyBorder="1" applyAlignment="1" applyProtection="1">
      <alignment horizontal="left" vertical="center"/>
      <protection hidden="1"/>
    </xf>
    <xf numFmtId="0" fontId="84" fillId="25" borderId="14" xfId="0" applyFont="1" applyFill="1" applyBorder="1" applyAlignment="1" applyProtection="1">
      <alignment horizontal="left" vertical="center"/>
      <protection hidden="1"/>
    </xf>
    <xf numFmtId="0" fontId="84" fillId="25" borderId="14" xfId="0" applyFont="1" applyFill="1" applyBorder="1" applyAlignment="1" applyProtection="1">
      <alignment horizontal="center" vertical="center"/>
      <protection hidden="1"/>
    </xf>
    <xf numFmtId="0" fontId="84" fillId="25" borderId="64" xfId="0" applyFont="1" applyFill="1" applyBorder="1" applyAlignment="1" applyProtection="1">
      <alignment horizontal="center" vertical="center"/>
      <protection hidden="1"/>
    </xf>
    <xf numFmtId="0" fontId="26" fillId="10" borderId="14" xfId="3" applyFill="1" applyBorder="1" applyAlignment="1" applyProtection="1">
      <alignment horizontal="left" vertical="center"/>
      <protection hidden="1"/>
    </xf>
    <xf numFmtId="0" fontId="26" fillId="10" borderId="64" xfId="3" applyFill="1" applyBorder="1" applyAlignment="1" applyProtection="1">
      <alignment horizontal="left" vertical="center"/>
      <protection hidden="1"/>
    </xf>
    <xf numFmtId="0" fontId="21" fillId="11" borderId="0" xfId="2" applyFont="1" applyFill="1" applyBorder="1" applyAlignment="1">
      <alignment horizontal="left" vertical="center" wrapText="1"/>
    </xf>
    <xf numFmtId="0" fontId="111" fillId="0" borderId="0" xfId="0" applyFont="1" applyAlignment="1">
      <alignment horizontal="left" vertical="center" wrapText="1"/>
    </xf>
    <xf numFmtId="0" fontId="202" fillId="10" borderId="0" xfId="3" applyFont="1" applyFill="1" applyAlignment="1" applyProtection="1">
      <alignment horizontal="center" vertical="center"/>
      <protection hidden="1"/>
    </xf>
    <xf numFmtId="0" fontId="15" fillId="33" borderId="0" xfId="0" applyFont="1" applyFill="1" applyBorder="1" applyAlignment="1" applyProtection="1">
      <alignment horizontal="left" vertical="center" indent="1"/>
      <protection hidden="1"/>
    </xf>
    <xf numFmtId="0" fontId="2" fillId="11" borderId="0" xfId="2" applyFont="1" applyFill="1" applyBorder="1" applyAlignment="1">
      <alignment horizontal="left" vertical="center"/>
    </xf>
    <xf numFmtId="0" fontId="111" fillId="0" borderId="0" xfId="0" applyFont="1" applyAlignment="1">
      <alignment horizontal="left" vertical="center"/>
    </xf>
    <xf numFmtId="0" fontId="2" fillId="11" borderId="0" xfId="2" applyFont="1" applyFill="1" applyBorder="1" applyAlignment="1">
      <alignment horizontal="left" wrapText="1"/>
    </xf>
    <xf numFmtId="0" fontId="2" fillId="11" borderId="0" xfId="2" applyFont="1" applyFill="1" applyBorder="1" applyAlignment="1">
      <alignment vertical="center" wrapText="1"/>
    </xf>
    <xf numFmtId="0" fontId="78" fillId="10" borderId="29" xfId="0" applyFont="1" applyFill="1" applyBorder="1" applyAlignment="1">
      <alignment horizontal="center" vertical="center"/>
    </xf>
    <xf numFmtId="0" fontId="78" fillId="10" borderId="31" xfId="0" applyFont="1" applyFill="1" applyBorder="1" applyAlignment="1">
      <alignment horizontal="center" vertical="center"/>
    </xf>
    <xf numFmtId="0" fontId="78" fillId="10" borderId="35" xfId="0" applyFont="1" applyFill="1" applyBorder="1" applyAlignment="1">
      <alignment horizontal="center" vertical="center"/>
    </xf>
    <xf numFmtId="0" fontId="78" fillId="10" borderId="20" xfId="0" applyFont="1" applyFill="1" applyBorder="1" applyAlignment="1">
      <alignment horizontal="center" vertical="center"/>
    </xf>
    <xf numFmtId="0" fontId="78" fillId="10" borderId="32" xfId="0" applyFont="1" applyFill="1" applyBorder="1" applyAlignment="1">
      <alignment horizontal="center" vertical="center"/>
    </xf>
    <xf numFmtId="0" fontId="78" fillId="10" borderId="33" xfId="0" applyFont="1" applyFill="1" applyBorder="1" applyAlignment="1">
      <alignment horizontal="center" vertical="center"/>
    </xf>
    <xf numFmtId="0" fontId="78" fillId="15" borderId="4" xfId="0" applyFont="1" applyFill="1" applyBorder="1" applyAlignment="1">
      <alignment horizontal="left" vertical="center"/>
    </xf>
    <xf numFmtId="0" fontId="78" fillId="15" borderId="4" xfId="0" applyFont="1" applyFill="1" applyBorder="1" applyAlignment="1">
      <alignment horizontal="center" vertical="center"/>
    </xf>
    <xf numFmtId="0" fontId="14" fillId="15" borderId="4" xfId="0" applyFont="1" applyFill="1" applyBorder="1" applyAlignment="1">
      <alignment horizontal="left" vertical="center" wrapText="1"/>
    </xf>
    <xf numFmtId="0" fontId="15" fillId="6" borderId="37" xfId="0" applyFont="1" applyFill="1" applyBorder="1" applyAlignment="1" applyProtection="1">
      <alignment horizontal="left" vertical="center" indent="1"/>
      <protection hidden="1"/>
    </xf>
    <xf numFmtId="0" fontId="47" fillId="6" borderId="81" xfId="0" applyFont="1" applyFill="1" applyBorder="1" applyAlignment="1">
      <alignment horizontal="center" vertical="center" wrapText="1"/>
    </xf>
    <xf numFmtId="0" fontId="47" fillId="6" borderId="0" xfId="0" applyFont="1" applyFill="1" applyBorder="1" applyAlignment="1">
      <alignment horizontal="center" vertical="center" wrapText="1"/>
    </xf>
    <xf numFmtId="0" fontId="47" fillId="6" borderId="0" xfId="0" applyFont="1" applyFill="1" applyBorder="1" applyAlignment="1">
      <alignment horizontal="center" vertical="center"/>
    </xf>
    <xf numFmtId="0" fontId="14" fillId="30" borderId="4" xfId="0" applyFont="1" applyFill="1" applyBorder="1" applyAlignment="1">
      <alignment horizontal="center" vertical="center" wrapText="1"/>
    </xf>
    <xf numFmtId="0" fontId="14" fillId="30" borderId="10" xfId="0" applyFont="1" applyFill="1" applyBorder="1" applyAlignment="1">
      <alignment horizontal="center" vertical="center" wrapText="1"/>
    </xf>
    <xf numFmtId="0" fontId="14" fillId="30" borderId="7" xfId="0" applyFont="1" applyFill="1" applyBorder="1" applyAlignment="1">
      <alignment horizontal="center" vertical="center" wrapText="1"/>
    </xf>
    <xf numFmtId="0" fontId="14" fillId="30" borderId="8" xfId="0" applyFont="1" applyFill="1" applyBorder="1" applyAlignment="1">
      <alignment horizontal="center" vertical="center" wrapText="1"/>
    </xf>
    <xf numFmtId="0" fontId="14" fillId="15" borderId="10" xfId="0" applyFont="1" applyFill="1" applyBorder="1" applyAlignment="1">
      <alignment horizontal="left" vertical="center" wrapText="1"/>
    </xf>
    <xf numFmtId="0" fontId="14" fillId="15" borderId="7" xfId="0" applyFont="1" applyFill="1" applyBorder="1" applyAlignment="1">
      <alignment horizontal="left" vertical="center" wrapText="1"/>
    </xf>
    <xf numFmtId="0" fontId="14" fillId="15" borderId="8" xfId="0" applyFont="1" applyFill="1" applyBorder="1" applyAlignment="1">
      <alignment horizontal="left" vertical="center" wrapText="1"/>
    </xf>
    <xf numFmtId="0" fontId="78" fillId="15" borderId="10" xfId="0" applyFont="1" applyFill="1" applyBorder="1" applyAlignment="1">
      <alignment horizontal="center" vertical="center" wrapText="1"/>
    </xf>
    <xf numFmtId="0" fontId="78" fillId="15" borderId="8" xfId="0" applyFont="1" applyFill="1" applyBorder="1" applyAlignment="1">
      <alignment horizontal="center" vertical="center" wrapText="1"/>
    </xf>
    <xf numFmtId="0" fontId="20" fillId="11" borderId="0" xfId="2" applyFont="1" applyFill="1" applyBorder="1" applyAlignment="1">
      <alignment horizontal="left" vertical="center"/>
    </xf>
    <xf numFmtId="0" fontId="47" fillId="6" borderId="7" xfId="0" applyFont="1" applyFill="1" applyBorder="1" applyAlignment="1">
      <alignment horizontal="center" vertical="center" wrapText="1"/>
    </xf>
    <xf numFmtId="0" fontId="47" fillId="6" borderId="8" xfId="0" applyFont="1" applyFill="1" applyBorder="1" applyAlignment="1">
      <alignment horizontal="center" vertical="center" wrapText="1"/>
    </xf>
    <xf numFmtId="0" fontId="14" fillId="15" borderId="29" xfId="0" applyFont="1" applyFill="1" applyBorder="1" applyAlignment="1">
      <alignment horizontal="left" vertical="center" wrapText="1"/>
    </xf>
    <xf numFmtId="0" fontId="14" fillId="15" borderId="30" xfId="0" applyFont="1" applyFill="1" applyBorder="1" applyAlignment="1">
      <alignment horizontal="left" vertical="center" wrapText="1"/>
    </xf>
    <xf numFmtId="0" fontId="14" fillId="15" borderId="31" xfId="0" applyFont="1" applyFill="1" applyBorder="1" applyAlignment="1">
      <alignment horizontal="left" vertical="center" wrapText="1"/>
    </xf>
    <xf numFmtId="0" fontId="14" fillId="15" borderId="32" xfId="0" applyFont="1" applyFill="1" applyBorder="1" applyAlignment="1">
      <alignment horizontal="left" vertical="center" wrapText="1"/>
    </xf>
    <xf numFmtId="0" fontId="14" fillId="15" borderId="3" xfId="0" applyFont="1" applyFill="1" applyBorder="1" applyAlignment="1">
      <alignment horizontal="left" vertical="center" wrapText="1"/>
    </xf>
    <xf numFmtId="0" fontId="14" fillId="15" borderId="33" xfId="0" applyFont="1" applyFill="1" applyBorder="1" applyAlignment="1">
      <alignment horizontal="left" vertical="center" wrapText="1"/>
    </xf>
    <xf numFmtId="0" fontId="47" fillId="6" borderId="10" xfId="0" applyFont="1" applyFill="1" applyBorder="1" applyAlignment="1">
      <alignment horizontal="center" vertical="center" wrapText="1"/>
    </xf>
    <xf numFmtId="0" fontId="20" fillId="11" borderId="0" xfId="2" applyFont="1" applyFill="1" applyBorder="1" applyAlignment="1">
      <alignment horizontal="center" vertical="center"/>
    </xf>
    <xf numFmtId="0" fontId="2" fillId="11" borderId="0" xfId="2" applyFont="1" applyFill="1" applyAlignment="1">
      <alignment horizontal="center" vertical="center"/>
    </xf>
    <xf numFmtId="0" fontId="47" fillId="16" borderId="8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20" fillId="11" borderId="0" xfId="2" applyFont="1" applyFill="1" applyBorder="1" applyAlignment="1">
      <alignment horizontal="center" vertical="center" wrapText="1"/>
    </xf>
    <xf numFmtId="0" fontId="78" fillId="15" borderId="55" xfId="0" applyFont="1" applyFill="1" applyBorder="1" applyAlignment="1">
      <alignment horizontal="center" vertical="center" wrapText="1"/>
    </xf>
    <xf numFmtId="0" fontId="78" fillId="15" borderId="56"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15" fillId="6" borderId="0" xfId="0" applyFont="1" applyFill="1" applyBorder="1" applyAlignment="1" applyProtection="1">
      <alignment horizontal="left" vertical="center" indent="1"/>
      <protection hidden="1"/>
    </xf>
    <xf numFmtId="0" fontId="78" fillId="15" borderId="41" xfId="0" applyFont="1" applyFill="1" applyBorder="1" applyAlignment="1">
      <alignment horizontal="center" vertical="center" wrapText="1"/>
    </xf>
    <xf numFmtId="0" fontId="2" fillId="11" borderId="54" xfId="2" applyFont="1" applyFill="1" applyBorder="1" applyAlignment="1">
      <alignment horizontal="left" wrapText="1"/>
    </xf>
    <xf numFmtId="0" fontId="2" fillId="11" borderId="0" xfId="2" applyFont="1" applyFill="1" applyBorder="1" applyAlignment="1">
      <alignment horizontal="left" vertical="center" wrapText="1" indent="7"/>
    </xf>
    <xf numFmtId="0" fontId="47" fillId="6" borderId="41" xfId="0" applyFont="1" applyFill="1" applyBorder="1" applyAlignment="1">
      <alignment horizontal="center" vertical="center" wrapText="1"/>
    </xf>
    <xf numFmtId="0" fontId="78" fillId="15" borderId="29" xfId="0" applyFont="1" applyFill="1" applyBorder="1" applyAlignment="1">
      <alignment horizontal="center" vertical="center" wrapText="1"/>
    </xf>
    <xf numFmtId="0" fontId="78" fillId="15" borderId="31" xfId="0" applyFont="1" applyFill="1" applyBorder="1" applyAlignment="1">
      <alignment horizontal="center" vertical="center" wrapText="1"/>
    </xf>
    <xf numFmtId="0" fontId="78" fillId="15" borderId="32" xfId="0" applyFont="1" applyFill="1" applyBorder="1" applyAlignment="1">
      <alignment horizontal="center" vertical="center" wrapText="1"/>
    </xf>
    <xf numFmtId="0" fontId="78" fillId="15" borderId="33" xfId="0" applyFont="1" applyFill="1" applyBorder="1" applyAlignment="1">
      <alignment horizontal="center" vertical="center" wrapText="1"/>
    </xf>
    <xf numFmtId="0" fontId="47" fillId="16" borderId="0" xfId="0" applyFont="1" applyFill="1" applyAlignment="1">
      <alignment horizontal="center" vertical="center" wrapText="1"/>
    </xf>
    <xf numFmtId="0" fontId="47" fillId="16" borderId="3" xfId="0" applyFont="1" applyFill="1" applyBorder="1" applyAlignment="1">
      <alignment horizontal="center" vertical="center" wrapText="1"/>
    </xf>
    <xf numFmtId="0" fontId="2" fillId="11" borderId="0" xfId="2" applyFont="1" applyFill="1" applyBorder="1" applyAlignment="1">
      <alignment horizontal="center" vertical="center"/>
    </xf>
    <xf numFmtId="0" fontId="15" fillId="29" borderId="0" xfId="0" applyFont="1" applyFill="1" applyBorder="1" applyAlignment="1" applyProtection="1">
      <alignment horizontal="left" vertical="center" indent="1"/>
      <protection hidden="1"/>
    </xf>
    <xf numFmtId="0" fontId="68" fillId="0" borderId="0" xfId="0" applyFont="1" applyAlignment="1">
      <alignment horizontal="center"/>
    </xf>
    <xf numFmtId="0" fontId="47" fillId="6" borderId="4" xfId="0" applyFont="1" applyFill="1" applyBorder="1" applyAlignment="1">
      <alignment horizontal="center" vertical="center" wrapText="1"/>
    </xf>
    <xf numFmtId="0" fontId="15" fillId="16" borderId="0" xfId="0" applyFont="1" applyFill="1" applyBorder="1" applyAlignment="1" applyProtection="1">
      <alignment horizontal="left" vertical="center" indent="1"/>
      <protection hidden="1"/>
    </xf>
    <xf numFmtId="0" fontId="78" fillId="15" borderId="34" xfId="0" applyFont="1" applyFill="1" applyBorder="1" applyAlignment="1">
      <alignment horizontal="center" vertical="center" wrapText="1"/>
    </xf>
    <xf numFmtId="0" fontId="47" fillId="6" borderId="0" xfId="0" applyFont="1" applyFill="1" applyBorder="1" applyAlignment="1">
      <alignment horizontal="left" vertical="center" wrapText="1"/>
    </xf>
    <xf numFmtId="0" fontId="21" fillId="11" borderId="0" xfId="2" applyFont="1" applyFill="1" applyBorder="1" applyAlignment="1">
      <alignment horizontal="left" vertical="center" wrapText="1" indent="3"/>
    </xf>
    <xf numFmtId="0" fontId="2" fillId="11" borderId="0" xfId="2" applyFont="1" applyFill="1" applyBorder="1" applyAlignment="1">
      <alignment horizontal="left" vertical="center" wrapText="1" indent="3"/>
    </xf>
    <xf numFmtId="0" fontId="160" fillId="11" borderId="0" xfId="0" applyFont="1" applyFill="1" applyAlignment="1">
      <alignment horizontal="center" vertical="center"/>
    </xf>
    <xf numFmtId="0" fontId="187" fillId="11" borderId="0" xfId="0" applyFont="1" applyFill="1" applyAlignment="1">
      <alignment horizontal="center" vertical="center"/>
    </xf>
    <xf numFmtId="0" fontId="14" fillId="15" borderId="4" xfId="0" applyFont="1" applyFill="1" applyBorder="1" applyAlignment="1">
      <alignment horizontal="center" vertical="center"/>
    </xf>
    <xf numFmtId="0" fontId="26" fillId="22" borderId="11" xfId="3" applyFont="1" applyFill="1" applyBorder="1" applyAlignment="1">
      <alignment horizontal="left" vertical="center"/>
    </xf>
    <xf numFmtId="0" fontId="26" fillId="22" borderId="12" xfId="3" applyFont="1" applyFill="1" applyBorder="1" applyAlignment="1">
      <alignment horizontal="left" vertical="center"/>
    </xf>
    <xf numFmtId="0" fontId="26" fillId="22" borderId="13" xfId="3" applyFont="1" applyFill="1" applyBorder="1" applyAlignment="1">
      <alignment horizontal="left" vertical="center"/>
    </xf>
    <xf numFmtId="0" fontId="84" fillId="25" borderId="0" xfId="0" applyFont="1" applyFill="1" applyAlignment="1">
      <alignment horizontal="left" vertical="center"/>
    </xf>
    <xf numFmtId="0" fontId="84" fillId="25" borderId="65" xfId="0" applyFont="1" applyFill="1" applyBorder="1" applyAlignment="1">
      <alignment horizontal="left" vertical="center"/>
    </xf>
    <xf numFmtId="0" fontId="84" fillId="25" borderId="14" xfId="0" applyFont="1" applyFill="1" applyBorder="1" applyAlignment="1">
      <alignment horizontal="left" vertical="center"/>
    </xf>
    <xf numFmtId="0" fontId="84" fillId="25" borderId="64" xfId="0" applyFont="1" applyFill="1" applyBorder="1" applyAlignment="1">
      <alignment horizontal="left" vertical="center"/>
    </xf>
    <xf numFmtId="0" fontId="74" fillId="20" borderId="61" xfId="0" applyFont="1" applyFill="1" applyBorder="1" applyAlignment="1" applyProtection="1">
      <alignment horizontal="center" vertical="center" wrapText="1"/>
      <protection locked="0"/>
    </xf>
    <xf numFmtId="0" fontId="74" fillId="20" borderId="65" xfId="0" applyFont="1" applyFill="1" applyBorder="1" applyAlignment="1" applyProtection="1">
      <alignment horizontal="left" vertical="center"/>
      <protection locked="0"/>
    </xf>
    <xf numFmtId="0" fontId="74" fillId="20" borderId="14" xfId="0" applyFont="1" applyFill="1" applyBorder="1" applyAlignment="1" applyProtection="1">
      <alignment horizontal="left" vertical="center"/>
      <protection locked="0"/>
    </xf>
    <xf numFmtId="0" fontId="74" fillId="20" borderId="64" xfId="0" applyFont="1" applyFill="1" applyBorder="1" applyAlignment="1" applyProtection="1">
      <alignment horizontal="left" vertical="center"/>
      <protection locked="0"/>
    </xf>
    <xf numFmtId="0" fontId="84" fillId="25" borderId="62" xfId="0" applyFont="1" applyFill="1" applyBorder="1" applyAlignment="1">
      <alignment horizontal="left" vertical="center"/>
    </xf>
    <xf numFmtId="0" fontId="84" fillId="25" borderId="0" xfId="0" applyFont="1" applyFill="1" applyBorder="1" applyAlignment="1">
      <alignment horizontal="left" vertical="center"/>
    </xf>
    <xf numFmtId="0" fontId="84" fillId="25" borderId="63" xfId="0" applyFont="1" applyFill="1" applyBorder="1" applyAlignment="1">
      <alignment horizontal="left" vertical="center"/>
    </xf>
    <xf numFmtId="0" fontId="81" fillId="32" borderId="0" xfId="0" applyFont="1" applyFill="1" applyBorder="1" applyAlignment="1" applyProtection="1">
      <alignment horizontal="left" vertical="center" indent="1"/>
      <protection hidden="1"/>
    </xf>
    <xf numFmtId="0" fontId="26" fillId="22" borderId="61" xfId="3" applyFill="1" applyBorder="1" applyAlignment="1">
      <alignment horizontal="left" vertical="center"/>
    </xf>
    <xf numFmtId="0" fontId="26" fillId="22" borderId="61" xfId="3" applyFont="1" applyFill="1" applyBorder="1" applyAlignment="1">
      <alignment horizontal="left" vertical="center"/>
    </xf>
    <xf numFmtId="0" fontId="84" fillId="25" borderId="61" xfId="0" applyFont="1" applyFill="1" applyBorder="1" applyAlignment="1">
      <alignment horizontal="left" vertical="center"/>
    </xf>
    <xf numFmtId="0" fontId="0" fillId="10" borderId="61" xfId="0" applyFont="1" applyFill="1" applyBorder="1" applyAlignment="1">
      <alignment horizontal="left" indent="1"/>
    </xf>
    <xf numFmtId="0" fontId="0" fillId="20" borderId="61" xfId="0" applyFont="1" applyFill="1" applyBorder="1" applyAlignment="1" applyProtection="1">
      <alignment horizontal="center"/>
      <protection locked="0"/>
    </xf>
    <xf numFmtId="0" fontId="80" fillId="32" borderId="0" xfId="0" applyFont="1" applyFill="1" applyBorder="1" applyAlignment="1" applyProtection="1">
      <alignment horizontal="left" vertical="center" indent="1"/>
      <protection hidden="1"/>
    </xf>
    <xf numFmtId="0" fontId="26" fillId="22" borderId="11" xfId="3" applyFill="1" applyBorder="1" applyAlignment="1">
      <alignment horizontal="left" vertical="center"/>
    </xf>
    <xf numFmtId="0" fontId="26" fillId="22" borderId="12" xfId="3" applyFill="1" applyBorder="1" applyAlignment="1">
      <alignment horizontal="left" vertical="center"/>
    </xf>
    <xf numFmtId="0" fontId="26" fillId="22" borderId="13" xfId="3" applyFill="1" applyBorder="1" applyAlignment="1">
      <alignment horizontal="left" vertical="center"/>
    </xf>
    <xf numFmtId="0" fontId="177" fillId="10" borderId="0" xfId="0" applyFont="1" applyFill="1" applyAlignment="1" applyProtection="1">
      <alignment horizontal="left" vertical="center" wrapText="1" indent="1"/>
      <protection hidden="1"/>
    </xf>
    <xf numFmtId="3" fontId="14" fillId="20" borderId="159" xfId="0" applyNumberFormat="1" applyFont="1" applyFill="1" applyBorder="1" applyAlignment="1" applyProtection="1">
      <alignment horizontal="center" vertical="center" wrapText="1"/>
      <protection locked="0"/>
    </xf>
    <xf numFmtId="0" fontId="14" fillId="20" borderId="159" xfId="0" applyFont="1" applyFill="1" applyBorder="1" applyAlignment="1" applyProtection="1">
      <alignment horizontal="center" vertical="center" wrapText="1"/>
      <protection locked="0"/>
    </xf>
  </cellXfs>
  <cellStyles count="8">
    <cellStyle name="Comma" xfId="7" builtinId="3"/>
    <cellStyle name="Excel Built-in Normal" xfId="4"/>
    <cellStyle name="Hyperlink" xfId="3" builtinId="8"/>
    <cellStyle name="Hyperlink 2" xfId="5"/>
    <cellStyle name="Normal" xfId="0" builtinId="0"/>
    <cellStyle name="Normal 2" xfId="2"/>
    <cellStyle name="Normal 2 2" xfId="6"/>
    <cellStyle name="Percent" xfId="1" builtinId="5"/>
  </cellStyles>
  <dxfs count="631">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s>
  <tableStyles count="0" defaultTableStyle="TableStyleMedium2" defaultPivotStyle="PivotStyleLight16"/>
  <colors>
    <mruColors>
      <color rgb="FFFFA500"/>
      <color rgb="FF943634"/>
      <color rgb="FF984806"/>
      <color rgb="FF76923C"/>
      <color rgb="FF4A562A"/>
      <color rgb="FF58AB27"/>
      <color rgb="FF5F4970"/>
      <color rgb="FFFFAF00"/>
      <color rgb="FF0070C0"/>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335980100135"/>
          <c:y val="2.4700282454767082E-2"/>
          <c:w val="0.57416272340861996"/>
          <c:h val="0.88304393377045853"/>
        </c:manualLayout>
      </c:layout>
      <c:pieChart>
        <c:varyColors val="1"/>
        <c:ser>
          <c:idx val="0"/>
          <c:order val="2"/>
          <c:explosion val="2"/>
          <c:dPt>
            <c:idx val="0"/>
            <c:bubble3D val="0"/>
            <c:spPr>
              <a:noFill/>
            </c:spPr>
          </c:dPt>
          <c:dPt>
            <c:idx val="2"/>
            <c:bubble3D val="0"/>
            <c:spPr>
              <a:noFill/>
            </c:spPr>
          </c:dPt>
          <c:val>
            <c:numRef>
              <c:f>'Graphical Results'!$O$13:$O$15</c:f>
              <c:numCache>
                <c:formatCode>General</c:formatCode>
                <c:ptCount val="3"/>
                <c:pt idx="0">
                  <c:v>0</c:v>
                </c:pt>
                <c:pt idx="1">
                  <c:v>0.5</c:v>
                </c:pt>
                <c:pt idx="2">
                  <c:v>85.5</c:v>
                </c:pt>
              </c:numCache>
            </c:numRef>
          </c:val>
        </c:ser>
        <c:dLbls>
          <c:showLegendKey val="0"/>
          <c:showVal val="0"/>
          <c:showCatName val="0"/>
          <c:showSerName val="0"/>
          <c:showPercent val="0"/>
          <c:showBubbleSize val="0"/>
          <c:showLeaderLines val="1"/>
        </c:dLbls>
        <c:firstSliceAng val="0"/>
      </c:pieChart>
      <c:doughnutChart>
        <c:varyColors val="1"/>
        <c:ser>
          <c:idx val="1"/>
          <c:order val="0"/>
          <c:spPr>
            <a:solidFill>
              <a:schemeClr val="accent1"/>
            </a:solidFill>
          </c:spPr>
          <c:dPt>
            <c:idx val="0"/>
            <c:bubble3D val="0"/>
            <c:spPr>
              <a:solidFill>
                <a:srgbClr val="FF0000"/>
              </a:solidFill>
            </c:spPr>
          </c:dPt>
          <c:dPt>
            <c:idx val="1"/>
            <c:bubble3D val="0"/>
            <c:spPr>
              <a:solidFill>
                <a:srgbClr val="58B527"/>
              </a:solidFill>
            </c:spPr>
          </c:dPt>
          <c:dPt>
            <c:idx val="2"/>
            <c:bubble3D val="0"/>
            <c:spPr>
              <a:solidFill>
                <a:schemeClr val="bg1">
                  <a:lumMod val="50000"/>
                </a:schemeClr>
              </a:solidFill>
            </c:spPr>
          </c:dPt>
          <c:dPt>
            <c:idx val="3"/>
            <c:bubble3D val="0"/>
            <c:spPr>
              <a:solidFill>
                <a:srgbClr val="FFC000"/>
              </a:solidFill>
            </c:spPr>
          </c:dPt>
          <c:dPt>
            <c:idx val="4"/>
            <c:bubble3D val="0"/>
            <c:spPr>
              <a:solidFill>
                <a:schemeClr val="accent5">
                  <a:lumMod val="50000"/>
                </a:schemeClr>
              </a:solidFill>
            </c:spPr>
          </c:dPt>
          <c:cat>
            <c:strRef>
              <c:f>'Graphical Results'!$P$6:$P$10</c:f>
              <c:strCache>
                <c:ptCount val="5"/>
                <c:pt idx="0">
                  <c:v>uncertified</c:v>
                </c:pt>
                <c:pt idx="1">
                  <c:v>certified</c:v>
                </c:pt>
                <c:pt idx="2">
                  <c:v>silver</c:v>
                </c:pt>
                <c:pt idx="3">
                  <c:v>gold</c:v>
                </c:pt>
                <c:pt idx="4">
                  <c:v>platinum</c:v>
                </c:pt>
              </c:strCache>
            </c:strRef>
          </c:cat>
          <c:val>
            <c:numRef>
              <c:f>'Graphical Results'!$O$6:$O$10</c:f>
              <c:numCache>
                <c:formatCode>General</c:formatCode>
                <c:ptCount val="5"/>
                <c:pt idx="0">
                  <c:v>31</c:v>
                </c:pt>
                <c:pt idx="1">
                  <c:v>12</c:v>
                </c:pt>
                <c:pt idx="2">
                  <c:v>8</c:v>
                </c:pt>
                <c:pt idx="3">
                  <c:v>8</c:v>
                </c:pt>
                <c:pt idx="4">
                  <c:v>40</c:v>
                </c:pt>
              </c:numCache>
            </c:numRef>
          </c:val>
        </c:ser>
        <c:dLbls>
          <c:showLegendKey val="0"/>
          <c:showVal val="0"/>
          <c:showCatName val="0"/>
          <c:showSerName val="0"/>
          <c:showPercent val="0"/>
          <c:showBubbleSize val="0"/>
          <c:showLeaderLines val="1"/>
        </c:dLbls>
        <c:firstSliceAng val="360"/>
        <c:holeSize val="85"/>
      </c:doughnutChart>
      <c:doughnutChart>
        <c:varyColors val="1"/>
        <c:ser>
          <c:idx val="2"/>
          <c:order val="1"/>
          <c:spPr>
            <a:noFill/>
          </c:spPr>
          <c:dLbls>
            <c:dLbl>
              <c:idx val="0"/>
              <c:layout>
                <c:manualLayout>
                  <c:x val="-1.8433184182586253E-2"/>
                  <c:y val="0.34019578371524911"/>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721973637643906E-3"/>
                  <c:y val="-0.307121193631822"/>
                </c:manualLayout>
              </c:layout>
              <c:showLegendKey val="0"/>
              <c:showVal val="1"/>
              <c:showCatName val="0"/>
              <c:showSerName val="0"/>
              <c:showPercent val="0"/>
              <c:showBubbleSize val="0"/>
              <c:extLst>
                <c:ext xmlns:c15="http://schemas.microsoft.com/office/drawing/2012/chart" uri="{CE6537A1-D6FC-4f65-9D91-7224C49458BB}"/>
              </c:extLst>
            </c:dLbl>
            <c:numFmt formatCode="&quot;Points: &quot;\ 0" sourceLinked="0"/>
            <c:spPr>
              <a:noFill/>
              <a:ln>
                <a:noFill/>
              </a:ln>
              <a:effectLst/>
            </c:spPr>
            <c:txPr>
              <a:bodyPr/>
              <a:lstStyle/>
              <a:p>
                <a:pPr>
                  <a:defRPr sz="1200" b="1">
                    <a:solidFill>
                      <a:srgbClr val="FFC000"/>
                    </a:solidFill>
                    <a:latin typeface="+mn-lt"/>
                  </a:defRPr>
                </a:pPr>
                <a:endParaRPr lang="en-US"/>
              </a:p>
            </c:txPr>
            <c:showLegendKey val="0"/>
            <c:showVal val="1"/>
            <c:showCatName val="0"/>
            <c:showSerName val="0"/>
            <c:showPercent val="0"/>
            <c:showBubbleSize val="0"/>
            <c:showLeaderLines val="1"/>
            <c:leaderLines>
              <c:spPr>
                <a:ln>
                  <a:noFill/>
                </a:ln>
              </c:spPr>
            </c:leaderLines>
            <c:extLst>
              <c:ext xmlns:c15="http://schemas.microsoft.com/office/drawing/2012/chart" uri="{CE6537A1-D6FC-4f65-9D91-7224C49458BB}"/>
            </c:extLst>
          </c:dLbls>
          <c:val>
            <c:numRef>
              <c:f>'Graphical Results'!$N$5:$N$6</c:f>
              <c:numCache>
                <c:formatCode>General</c:formatCode>
                <c:ptCount val="2"/>
                <c:pt idx="1">
                  <c:v>0</c:v>
                </c:pt>
              </c:numCache>
            </c:numRef>
          </c:val>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solidFill>
      <a:sysClr val="window" lastClr="FFFFFF">
        <a:lumMod val="95000"/>
      </a:sysClr>
    </a:solidFill>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dPt>
            <c:idx val="0"/>
            <c:invertIfNegative val="0"/>
            <c:bubble3D val="0"/>
            <c:spPr>
              <a:solidFill>
                <a:srgbClr val="58AB27"/>
              </a:solidFill>
            </c:spPr>
          </c:dPt>
          <c:dPt>
            <c:idx val="1"/>
            <c:invertIfNegative val="0"/>
            <c:bubble3D val="0"/>
            <c:spPr>
              <a:solidFill>
                <a:srgbClr val="0563C1"/>
              </a:solidFill>
            </c:spPr>
          </c:dPt>
          <c:dPt>
            <c:idx val="2"/>
            <c:invertIfNegative val="0"/>
            <c:bubble3D val="0"/>
            <c:spPr>
              <a:solidFill>
                <a:srgbClr val="5F4970"/>
              </a:solidFill>
            </c:spPr>
          </c:dPt>
          <c:dPt>
            <c:idx val="3"/>
            <c:invertIfNegative val="0"/>
            <c:bubble3D val="0"/>
            <c:spPr>
              <a:solidFill>
                <a:srgbClr val="4A562A"/>
              </a:solidFill>
            </c:spPr>
          </c:dPt>
          <c:dPt>
            <c:idx val="4"/>
            <c:invertIfNegative val="0"/>
            <c:bubble3D val="0"/>
            <c:spPr>
              <a:solidFill>
                <a:srgbClr val="943634"/>
              </a:solidFill>
            </c:spPr>
          </c:dPt>
          <c:dPt>
            <c:idx val="5"/>
            <c:invertIfNegative val="0"/>
            <c:bubble3D val="0"/>
            <c:spPr>
              <a:solidFill>
                <a:srgbClr val="76923C"/>
              </a:solidFill>
            </c:spPr>
          </c:dPt>
          <c:dPt>
            <c:idx val="6"/>
            <c:invertIfNegative val="0"/>
            <c:bubble3D val="0"/>
            <c:spPr>
              <a:solidFill>
                <a:srgbClr val="984806"/>
              </a:solidFill>
            </c:spPr>
          </c:dPt>
          <c:dPt>
            <c:idx val="7"/>
            <c:invertIfNegative val="0"/>
            <c:bubble3D val="0"/>
            <c:spPr>
              <a:solidFill>
                <a:srgbClr val="FFC000"/>
              </a:solidFill>
            </c:spPr>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 Results'!$R$6:$R$13</c:f>
              <c:strCache>
                <c:ptCount val="8"/>
                <c:pt idx="0">
                  <c:v>Energy</c:v>
                </c:pt>
                <c:pt idx="1">
                  <c:v>Water</c:v>
                </c:pt>
                <c:pt idx="2">
                  <c:v>Materials</c:v>
                </c:pt>
                <c:pt idx="3">
                  <c:v>W&amp;P</c:v>
                </c:pt>
                <c:pt idx="4">
                  <c:v>H&amp;C</c:v>
                </c:pt>
                <c:pt idx="5">
                  <c:v>L&amp;T</c:v>
                </c:pt>
                <c:pt idx="6">
                  <c:v>Management</c:v>
                </c:pt>
                <c:pt idx="7">
                  <c:v>Innovation</c:v>
                </c:pt>
              </c:strCache>
            </c:strRef>
          </c:cat>
          <c:val>
            <c:numRef>
              <c:f>'Graphical Results'!$T$6:$T$13</c:f>
              <c:numCache>
                <c:formatCode>General</c:formatCode>
                <c:ptCount val="8"/>
                <c:pt idx="0">
                  <c:v>0</c:v>
                </c:pt>
                <c:pt idx="1">
                  <c:v>0</c:v>
                </c:pt>
                <c:pt idx="2">
                  <c:v>0</c:v>
                </c:pt>
                <c:pt idx="3">
                  <c:v>0</c:v>
                </c:pt>
                <c:pt idx="4">
                  <c:v>0</c:v>
                </c:pt>
                <c:pt idx="5">
                  <c:v>0</c:v>
                </c:pt>
                <c:pt idx="6">
                  <c:v>0</c:v>
                </c:pt>
                <c:pt idx="7">
                  <c:v>0</c:v>
                </c:pt>
              </c:numCache>
            </c:numRef>
          </c:val>
        </c:ser>
        <c:ser>
          <c:idx val="1"/>
          <c:order val="1"/>
          <c:invertIfNegative val="0"/>
          <c:dPt>
            <c:idx val="0"/>
            <c:invertIfNegative val="0"/>
            <c:bubble3D val="0"/>
            <c:spPr>
              <a:solidFill>
                <a:srgbClr val="58AB27">
                  <a:alpha val="50000"/>
                </a:srgbClr>
              </a:solidFill>
            </c:spPr>
          </c:dPt>
          <c:dPt>
            <c:idx val="1"/>
            <c:invertIfNegative val="0"/>
            <c:bubble3D val="0"/>
            <c:spPr>
              <a:solidFill>
                <a:srgbClr val="0070C0">
                  <a:alpha val="50000"/>
                </a:srgbClr>
              </a:solidFill>
            </c:spPr>
          </c:dPt>
          <c:dPt>
            <c:idx val="2"/>
            <c:invertIfNegative val="0"/>
            <c:bubble3D val="0"/>
            <c:spPr>
              <a:solidFill>
                <a:srgbClr val="5F4970">
                  <a:alpha val="50000"/>
                </a:srgbClr>
              </a:solidFill>
            </c:spPr>
          </c:dPt>
          <c:dPt>
            <c:idx val="3"/>
            <c:invertIfNegative val="0"/>
            <c:bubble3D val="0"/>
            <c:spPr>
              <a:solidFill>
                <a:srgbClr val="4A562A">
                  <a:alpha val="50000"/>
                </a:srgbClr>
              </a:solidFill>
            </c:spPr>
          </c:dPt>
          <c:dPt>
            <c:idx val="4"/>
            <c:invertIfNegative val="0"/>
            <c:bubble3D val="0"/>
            <c:spPr>
              <a:solidFill>
                <a:srgbClr val="943634">
                  <a:alpha val="50000"/>
                </a:srgbClr>
              </a:solidFill>
            </c:spPr>
          </c:dPt>
          <c:dPt>
            <c:idx val="5"/>
            <c:invertIfNegative val="0"/>
            <c:bubble3D val="0"/>
            <c:spPr>
              <a:solidFill>
                <a:srgbClr val="76923C">
                  <a:alpha val="50000"/>
                </a:srgbClr>
              </a:solidFill>
            </c:spPr>
          </c:dPt>
          <c:dPt>
            <c:idx val="6"/>
            <c:invertIfNegative val="0"/>
            <c:bubble3D val="0"/>
            <c:spPr>
              <a:solidFill>
                <a:srgbClr val="984806">
                  <a:alpha val="50000"/>
                </a:srgbClr>
              </a:solidFill>
            </c:spPr>
          </c:dPt>
          <c:dPt>
            <c:idx val="7"/>
            <c:invertIfNegative val="0"/>
            <c:bubble3D val="0"/>
            <c:spPr>
              <a:solidFill>
                <a:srgbClr val="FFC000">
                  <a:alpha val="50000"/>
                </a:srgbClr>
              </a:solidFill>
            </c:spPr>
          </c:dPt>
          <c:cat>
            <c:strRef>
              <c:f>'Graphical Results'!$R$6:$R$13</c:f>
              <c:strCache>
                <c:ptCount val="8"/>
                <c:pt idx="0">
                  <c:v>Energy</c:v>
                </c:pt>
                <c:pt idx="1">
                  <c:v>Water</c:v>
                </c:pt>
                <c:pt idx="2">
                  <c:v>Materials</c:v>
                </c:pt>
                <c:pt idx="3">
                  <c:v>W&amp;P</c:v>
                </c:pt>
                <c:pt idx="4">
                  <c:v>H&amp;C</c:v>
                </c:pt>
                <c:pt idx="5">
                  <c:v>L&amp;T</c:v>
                </c:pt>
                <c:pt idx="6">
                  <c:v>Management</c:v>
                </c:pt>
                <c:pt idx="7">
                  <c:v>Innovation</c:v>
                </c:pt>
              </c:strCache>
            </c:strRef>
          </c:cat>
          <c:val>
            <c:numRef>
              <c:f>'Graphical Results'!$U$6:$U$13</c:f>
              <c:numCache>
                <c:formatCode>General</c:formatCode>
                <c:ptCount val="8"/>
                <c:pt idx="0">
                  <c:v>18</c:v>
                </c:pt>
                <c:pt idx="1">
                  <c:v>6</c:v>
                </c:pt>
                <c:pt idx="2">
                  <c:v>14</c:v>
                </c:pt>
                <c:pt idx="3">
                  <c:v>5</c:v>
                </c:pt>
                <c:pt idx="4">
                  <c:v>20</c:v>
                </c:pt>
                <c:pt idx="5">
                  <c:v>8</c:v>
                </c:pt>
                <c:pt idx="6">
                  <c:v>9</c:v>
                </c:pt>
                <c:pt idx="7">
                  <c:v>6</c:v>
                </c:pt>
              </c:numCache>
            </c:numRef>
          </c:val>
        </c:ser>
        <c:dLbls>
          <c:showLegendKey val="0"/>
          <c:showVal val="0"/>
          <c:showCatName val="0"/>
          <c:showSerName val="0"/>
          <c:showPercent val="0"/>
          <c:showBubbleSize val="0"/>
        </c:dLbls>
        <c:gapWidth val="69"/>
        <c:overlap val="100"/>
        <c:axId val="1618158768"/>
        <c:axId val="1928452032"/>
      </c:barChart>
      <c:catAx>
        <c:axId val="1618158768"/>
        <c:scaling>
          <c:orientation val="minMax"/>
        </c:scaling>
        <c:delete val="0"/>
        <c:axPos val="b"/>
        <c:numFmt formatCode="General" sourceLinked="0"/>
        <c:majorTickMark val="out"/>
        <c:minorTickMark val="none"/>
        <c:tickLblPos val="nextTo"/>
        <c:spPr>
          <a:noFill/>
          <a:ln w="0">
            <a:noFill/>
          </a:ln>
        </c:spPr>
        <c:crossAx val="1928452032"/>
        <c:crosses val="autoZero"/>
        <c:auto val="1"/>
        <c:lblAlgn val="ctr"/>
        <c:lblOffset val="100"/>
        <c:noMultiLvlLbl val="0"/>
      </c:catAx>
      <c:valAx>
        <c:axId val="1928452032"/>
        <c:scaling>
          <c:orientation val="minMax"/>
          <c:max val="21"/>
          <c:min val="0"/>
        </c:scaling>
        <c:delete val="0"/>
        <c:axPos val="l"/>
        <c:title>
          <c:tx>
            <c:rich>
              <a:bodyPr rot="-5400000" vert="horz" anchor="ctr" anchorCtr="1"/>
              <a:lstStyle/>
              <a:p>
                <a:pPr>
                  <a:defRPr/>
                </a:pPr>
                <a:r>
                  <a:rPr lang="fr-FR" sz="1050" b="0"/>
                  <a:t>Points / Points available</a:t>
                </a:r>
              </a:p>
            </c:rich>
          </c:tx>
          <c:layout>
            <c:manualLayout>
              <c:xMode val="edge"/>
              <c:yMode val="edge"/>
              <c:x val="2.1406727828746242E-2"/>
              <c:y val="0.15582732228401519"/>
            </c:manualLayout>
          </c:layout>
          <c:overlay val="0"/>
        </c:title>
        <c:numFmt formatCode="General" sourceLinked="1"/>
        <c:majorTickMark val="out"/>
        <c:minorTickMark val="none"/>
        <c:tickLblPos val="nextTo"/>
        <c:spPr>
          <a:ln>
            <a:solidFill>
              <a:schemeClr val="bg1">
                <a:lumMod val="75000"/>
              </a:schemeClr>
            </a:solidFill>
          </a:ln>
        </c:spPr>
        <c:crossAx val="1618158768"/>
        <c:crosses val="autoZero"/>
        <c:crossBetween val="between"/>
      </c:valAx>
      <c:spPr>
        <a:solidFill>
          <a:schemeClr val="bg1">
            <a:lumMod val="95000"/>
          </a:schemeClr>
        </a:solidFill>
      </c:spPr>
    </c:plotArea>
    <c:plotVisOnly val="0"/>
    <c:dispBlanksAs val="gap"/>
    <c:showDLblsOverMax val="0"/>
  </c:chart>
  <c:spPr>
    <a:noFill/>
    <a:ln>
      <a:noFill/>
    </a:ln>
  </c:spPr>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90156318955719E-2"/>
          <c:y val="3.530764536785843E-2"/>
          <c:w val="0.7104503751190393"/>
          <c:h val="0.89950579706948464"/>
        </c:manualLayout>
      </c:layout>
      <c:doughnutChart>
        <c:varyColors val="0"/>
        <c:ser>
          <c:idx val="5"/>
          <c:order val="0"/>
          <c:tx>
            <c:strRef>
              <c:f>'Graphical Results'!$R$12</c:f>
              <c:strCache>
                <c:ptCount val="1"/>
                <c:pt idx="0">
                  <c:v>Management</c:v>
                </c:pt>
              </c:strCache>
            </c:strRef>
          </c:tx>
          <c:dPt>
            <c:idx val="0"/>
            <c:bubble3D val="0"/>
            <c:spPr>
              <a:solidFill>
                <a:srgbClr val="984806"/>
              </a:solidFill>
            </c:spPr>
          </c:dPt>
          <c:dPt>
            <c:idx val="1"/>
            <c:bubble3D val="0"/>
            <c:spPr>
              <a:solidFill>
                <a:srgbClr val="984806">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Results'!$T$12:$U$12</c:f>
              <c:numCache>
                <c:formatCode>General</c:formatCode>
                <c:ptCount val="2"/>
                <c:pt idx="0">
                  <c:v>0</c:v>
                </c:pt>
                <c:pt idx="1">
                  <c:v>9</c:v>
                </c:pt>
              </c:numCache>
            </c:numRef>
          </c:val>
        </c:ser>
        <c:ser>
          <c:idx val="10"/>
          <c:order val="1"/>
          <c:val>
            <c:numRef>
              <c:f>'Graphical Results'!$K$34:$L$34</c:f>
              <c:numCache>
                <c:formatCode>General</c:formatCode>
                <c:ptCount val="2"/>
              </c:numCache>
            </c:numRef>
          </c:val>
        </c:ser>
        <c:ser>
          <c:idx val="4"/>
          <c:order val="2"/>
          <c:tx>
            <c:strRef>
              <c:f>'Graphical Results'!$R$11</c:f>
              <c:strCache>
                <c:ptCount val="1"/>
                <c:pt idx="0">
                  <c:v>L&amp;T</c:v>
                </c:pt>
              </c:strCache>
            </c:strRef>
          </c:tx>
          <c:spPr>
            <a:solidFill>
              <a:srgbClr val="76923C">
                <a:alpha val="50000"/>
              </a:srgbClr>
            </a:solidFill>
          </c:spPr>
          <c:dPt>
            <c:idx val="0"/>
            <c:bubble3D val="0"/>
            <c:spPr>
              <a:solidFill>
                <a:srgbClr val="76923C"/>
              </a:solidFill>
            </c:spPr>
          </c:dPt>
          <c:dPt>
            <c:idx val="1"/>
            <c:bubble3D val="0"/>
            <c:spPr>
              <a:solidFill>
                <a:srgbClr val="76923C">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Results'!$T$11:$U$11</c:f>
              <c:numCache>
                <c:formatCode>General</c:formatCode>
                <c:ptCount val="2"/>
                <c:pt idx="0">
                  <c:v>0</c:v>
                </c:pt>
                <c:pt idx="1">
                  <c:v>8</c:v>
                </c:pt>
              </c:numCache>
            </c:numRef>
          </c:val>
        </c:ser>
        <c:ser>
          <c:idx val="6"/>
          <c:order val="3"/>
          <c:val>
            <c:numRef>
              <c:f>'Graphical Results'!$K$22:$L$22</c:f>
              <c:numCache>
                <c:formatCode>General</c:formatCode>
                <c:ptCount val="2"/>
              </c:numCache>
            </c:numRef>
          </c:val>
        </c:ser>
        <c:ser>
          <c:idx val="3"/>
          <c:order val="4"/>
          <c:tx>
            <c:v>H&amp;C</c:v>
          </c:tx>
          <c:dPt>
            <c:idx val="0"/>
            <c:bubble3D val="0"/>
            <c:spPr>
              <a:solidFill>
                <a:srgbClr val="943634"/>
              </a:solidFill>
            </c:spPr>
          </c:dPt>
          <c:dPt>
            <c:idx val="1"/>
            <c:bubble3D val="0"/>
            <c:spPr>
              <a:solidFill>
                <a:srgbClr val="943634">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Results'!$T$10:$U$10</c:f>
              <c:numCache>
                <c:formatCode>General</c:formatCode>
                <c:ptCount val="2"/>
                <c:pt idx="0">
                  <c:v>0</c:v>
                </c:pt>
                <c:pt idx="1">
                  <c:v>20</c:v>
                </c:pt>
              </c:numCache>
            </c:numRef>
          </c:val>
        </c:ser>
        <c:ser>
          <c:idx val="7"/>
          <c:order val="5"/>
          <c:val>
            <c:numRef>
              <c:f>'Graphical Results'!$K$28:$L$28</c:f>
              <c:numCache>
                <c:formatCode>General</c:formatCode>
                <c:ptCount val="2"/>
              </c:numCache>
            </c:numRef>
          </c:val>
        </c:ser>
        <c:ser>
          <c:idx val="11"/>
          <c:order val="6"/>
          <c:tx>
            <c:strRef>
              <c:f>'Graphical Results'!$R$9</c:f>
              <c:strCache>
                <c:ptCount val="1"/>
                <c:pt idx="0">
                  <c:v>W&amp;P</c:v>
                </c:pt>
              </c:strCache>
            </c:strRef>
          </c:tx>
          <c:spPr>
            <a:solidFill>
              <a:srgbClr val="4A562A">
                <a:alpha val="50000"/>
              </a:srgbClr>
            </a:solidFill>
          </c:spPr>
          <c:dPt>
            <c:idx val="0"/>
            <c:bubble3D val="0"/>
            <c:spPr>
              <a:solidFill>
                <a:srgbClr val="4A562A"/>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Results'!$T$9:$U$9</c:f>
              <c:numCache>
                <c:formatCode>General</c:formatCode>
                <c:ptCount val="2"/>
                <c:pt idx="0">
                  <c:v>0</c:v>
                </c:pt>
                <c:pt idx="1">
                  <c:v>5</c:v>
                </c:pt>
              </c:numCache>
            </c:numRef>
          </c:val>
        </c:ser>
        <c:ser>
          <c:idx val="8"/>
          <c:order val="7"/>
          <c:val>
            <c:numRef>
              <c:f>'Graphical Results'!$K$29:$L$29</c:f>
              <c:numCache>
                <c:formatCode>General</c:formatCode>
                <c:ptCount val="2"/>
              </c:numCache>
            </c:numRef>
          </c:val>
        </c:ser>
        <c:ser>
          <c:idx val="2"/>
          <c:order val="8"/>
          <c:tx>
            <c:v>Materials</c:v>
          </c:tx>
          <c:dPt>
            <c:idx val="0"/>
            <c:bubble3D val="0"/>
            <c:spPr>
              <a:solidFill>
                <a:srgbClr val="5F4970"/>
              </a:solidFill>
            </c:spPr>
          </c:dPt>
          <c:dPt>
            <c:idx val="1"/>
            <c:bubble3D val="0"/>
            <c:spPr>
              <a:solidFill>
                <a:srgbClr val="5F4970">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Results'!$T$8:$U$8</c:f>
              <c:numCache>
                <c:formatCode>General</c:formatCode>
                <c:ptCount val="2"/>
                <c:pt idx="0">
                  <c:v>0</c:v>
                </c:pt>
                <c:pt idx="1">
                  <c:v>14</c:v>
                </c:pt>
              </c:numCache>
            </c:numRef>
          </c:val>
        </c:ser>
        <c:ser>
          <c:idx val="12"/>
          <c:order val="9"/>
          <c:val>
            <c:numRef>
              <c:f>'Graphical Results'!$K$22:$L$22</c:f>
              <c:numCache>
                <c:formatCode>General</c:formatCode>
                <c:ptCount val="2"/>
              </c:numCache>
            </c:numRef>
          </c:val>
        </c:ser>
        <c:ser>
          <c:idx val="1"/>
          <c:order val="10"/>
          <c:tx>
            <c:v>Water</c:v>
          </c:tx>
          <c:dPt>
            <c:idx val="0"/>
            <c:bubble3D val="0"/>
            <c:spPr>
              <a:solidFill>
                <a:srgbClr val="0070C0"/>
              </a:solidFill>
            </c:spPr>
          </c:dPt>
          <c:dPt>
            <c:idx val="1"/>
            <c:bubble3D val="0"/>
            <c:spPr>
              <a:solidFill>
                <a:srgbClr val="0070C0">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Results'!$T$7:$U$7</c:f>
              <c:numCache>
                <c:formatCode>General</c:formatCode>
                <c:ptCount val="2"/>
                <c:pt idx="0">
                  <c:v>0</c:v>
                </c:pt>
                <c:pt idx="1">
                  <c:v>6</c:v>
                </c:pt>
              </c:numCache>
            </c:numRef>
          </c:val>
        </c:ser>
        <c:ser>
          <c:idx val="9"/>
          <c:order val="11"/>
          <c:val>
            <c:numRef>
              <c:f>'Graphical Results'!$K$31:$L$31</c:f>
              <c:numCache>
                <c:formatCode>General</c:formatCode>
                <c:ptCount val="2"/>
              </c:numCache>
            </c:numRef>
          </c:val>
        </c:ser>
        <c:ser>
          <c:idx val="0"/>
          <c:order val="12"/>
          <c:tx>
            <c:v>Energy</c:v>
          </c:tx>
          <c:dPt>
            <c:idx val="0"/>
            <c:bubble3D val="0"/>
            <c:spPr>
              <a:solidFill>
                <a:srgbClr val="58B527"/>
              </a:solidFill>
            </c:spPr>
          </c:dPt>
          <c:dPt>
            <c:idx val="1"/>
            <c:bubble3D val="0"/>
            <c:spPr>
              <a:solidFill>
                <a:srgbClr val="58B527">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Results'!$T$6:$U$6</c:f>
              <c:numCache>
                <c:formatCode>General</c:formatCode>
                <c:ptCount val="2"/>
                <c:pt idx="0">
                  <c:v>0</c:v>
                </c:pt>
                <c:pt idx="1">
                  <c:v>18</c:v>
                </c:pt>
              </c:numCache>
            </c:numRef>
          </c:val>
        </c:ser>
        <c:dLbls>
          <c:showLegendKey val="0"/>
          <c:showVal val="0"/>
          <c:showCatName val="0"/>
          <c:showSerName val="0"/>
          <c:showPercent val="0"/>
          <c:showBubbleSize val="0"/>
          <c:showLeaderLines val="1"/>
        </c:dLbls>
        <c:firstSliceAng val="0"/>
        <c:holeSize val="15"/>
      </c:doughnutChart>
    </c:plotArea>
    <c:legend>
      <c:legendPos val="r"/>
      <c:legendEntry>
        <c:idx val="1"/>
        <c:delete val="1"/>
      </c:legendEntry>
      <c:legendEntry>
        <c:idx val="3"/>
        <c:delete val="1"/>
      </c:legendEntry>
      <c:legendEntry>
        <c:idx val="5"/>
        <c:delete val="1"/>
      </c:legendEntry>
      <c:legendEntry>
        <c:idx val="7"/>
        <c:delete val="1"/>
      </c:legendEntry>
      <c:legendEntry>
        <c:idx val="9"/>
        <c:delete val="1"/>
      </c:legendEntry>
      <c:legendEntry>
        <c:idx val="11"/>
        <c:delete val="1"/>
      </c:legendEntry>
      <c:overlay val="0"/>
    </c:legend>
    <c:plotVisOnly val="0"/>
    <c:dispBlanksAs val="zero"/>
    <c:showDLblsOverMax val="0"/>
  </c:chart>
  <c:spPr>
    <a:solidFill>
      <a:sysClr val="window" lastClr="FFFFFF">
        <a:lumMod val="95000"/>
      </a:sysClr>
    </a:solidFill>
    <a:ln>
      <a:noFill/>
    </a:ln>
  </c:spPr>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spPr>
            <a:solidFill>
              <a:srgbClr val="FFAF00">
                <a:alpha val="50196"/>
              </a:srgbClr>
            </a:solidFill>
            <a:ln>
              <a:solidFill>
                <a:srgbClr val="FFC000"/>
              </a:solidFill>
            </a:ln>
          </c:spPr>
          <c:cat>
            <c:strRef>
              <c:f>'Graphical Results'!$R$6:$R$12</c:f>
              <c:strCache>
                <c:ptCount val="7"/>
                <c:pt idx="0">
                  <c:v>Energy</c:v>
                </c:pt>
                <c:pt idx="1">
                  <c:v>Water</c:v>
                </c:pt>
                <c:pt idx="2">
                  <c:v>Materials</c:v>
                </c:pt>
                <c:pt idx="3">
                  <c:v>W&amp;P</c:v>
                </c:pt>
                <c:pt idx="4">
                  <c:v>H&amp;C</c:v>
                </c:pt>
                <c:pt idx="5">
                  <c:v>L&amp;T</c:v>
                </c:pt>
                <c:pt idx="6">
                  <c:v>Management</c:v>
                </c:pt>
              </c:strCache>
            </c:strRef>
          </c:cat>
          <c:val>
            <c:numRef>
              <c:f>'Graphical Results'!$S$15:$S$21</c:f>
              <c:numCache>
                <c:formatCode>0.00%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axId val="1928458560"/>
        <c:axId val="1928450400"/>
      </c:radarChart>
      <c:catAx>
        <c:axId val="1928458560"/>
        <c:scaling>
          <c:orientation val="minMax"/>
        </c:scaling>
        <c:delete val="0"/>
        <c:axPos val="b"/>
        <c:majorGridlines/>
        <c:numFmt formatCode="General" sourceLinked="0"/>
        <c:majorTickMark val="out"/>
        <c:minorTickMark val="none"/>
        <c:tickLblPos val="nextTo"/>
        <c:crossAx val="1928450400"/>
        <c:crosses val="autoZero"/>
        <c:auto val="1"/>
        <c:lblAlgn val="ctr"/>
        <c:lblOffset val="100"/>
        <c:noMultiLvlLbl val="0"/>
      </c:catAx>
      <c:valAx>
        <c:axId val="1928450400"/>
        <c:scaling>
          <c:orientation val="minMax"/>
          <c:max val="1"/>
        </c:scaling>
        <c:delete val="0"/>
        <c:axPos val="l"/>
        <c:majorGridlines/>
        <c:numFmt formatCode="0%" sourceLinked="0"/>
        <c:majorTickMark val="cross"/>
        <c:minorTickMark val="none"/>
        <c:tickLblPos val="nextTo"/>
        <c:crossAx val="1928458560"/>
        <c:crosses val="autoZero"/>
        <c:crossBetween val="between"/>
      </c:valAx>
      <c:spPr>
        <a:solidFill>
          <a:sysClr val="window" lastClr="FFFFFF">
            <a:lumMod val="95000"/>
          </a:sysClr>
        </a:solidFill>
        <a:ln>
          <a:noFill/>
        </a:ln>
      </c:spPr>
    </c:plotArea>
    <c:plotVisOnly val="0"/>
    <c:dispBlanksAs val="gap"/>
    <c:showDLblsOverMax val="0"/>
  </c:chart>
  <c:spPr>
    <a:solidFill>
      <a:sysClr val="window" lastClr="FFFFFF">
        <a:lumMod val="95000"/>
      </a:sysClr>
    </a:solidFill>
    <a:ln>
      <a:noFill/>
    </a:ln>
  </c:spPr>
  <c:printSettings>
    <c:headerFooter/>
    <c:pageMargins b="0.75000000000000289" l="0.70000000000000062" r="0.70000000000000062" t="0.75000000000000289" header="0.30000000000000032" footer="0.30000000000000032"/>
    <c:pageSetup/>
  </c:printSettings>
</c:chartSpace>
</file>

<file path=xl/ctrlProps/ctrlProp1.xml><?xml version="1.0" encoding="utf-8"?>
<formControlPr xmlns="http://schemas.microsoft.com/office/spreadsheetml/2009/9/main" objectType="CheckBox" fmlaLink="R25" lockText="1" noThreeD="1"/>
</file>

<file path=xl/ctrlProps/ctrlProp2.xml><?xml version="1.0" encoding="utf-8"?>
<formControlPr xmlns="http://schemas.microsoft.com/office/spreadsheetml/2009/9/main" objectType="CheckBox" fmlaLink="Q25" lockText="1" noThreeD="1"/>
</file>

<file path=xl/ctrlProps/ctrlProp3.xml><?xml version="1.0" encoding="utf-8"?>
<formControlPr xmlns="http://schemas.microsoft.com/office/spreadsheetml/2009/9/main" objectType="CheckBox" fmlaLink="Q17" lockText="1" noThreeD="1"/>
</file>

<file path=xl/ctrlProps/ctrlProp4.xml><?xml version="1.0" encoding="utf-8"?>
<formControlPr xmlns="http://schemas.microsoft.com/office/spreadsheetml/2009/9/main" objectType="CheckBox" fmlaLink="R17" lockText="1" noThreeD="1"/>
</file>

<file path=xl/ctrlProps/ctrlProp5.xml><?xml version="1.0" encoding="utf-8"?>
<formControlPr xmlns="http://schemas.microsoft.com/office/spreadsheetml/2009/9/main" objectType="CheckBox" fmlaLink="Q29" lockText="1" noThreeD="1"/>
</file>

<file path=xl/ctrlProps/ctrlProp6.xml><?xml version="1.0" encoding="utf-8"?>
<formControlPr xmlns="http://schemas.microsoft.com/office/spreadsheetml/2009/9/main" objectType="CheckBox" fmlaLink="R29"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vgbc.org.vn/" TargetMode="External"/><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Introduction!N3"/><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hyperlink" Target="#'LOTUS Interiors Scorecard'!J2"/><Relationship Id="rId2" Type="http://schemas.openxmlformats.org/officeDocument/2006/relationships/image" Target="../media/image46.png"/><Relationship Id="rId1" Type="http://schemas.openxmlformats.org/officeDocument/2006/relationships/hyperlink" Target="#Glossary!A42:Q60"/><Relationship Id="rId5" Type="http://schemas.openxmlformats.org/officeDocument/2006/relationships/hyperlink" Target="#Introduction!N3"/><Relationship Id="rId4" Type="http://schemas.openxmlformats.org/officeDocument/2006/relationships/hyperlink" Target="#Instructions!N4"/></Relationships>
</file>

<file path=xl/drawings/_rels/drawing11.xml.rels><?xml version="1.0" encoding="UTF-8" standalone="yes"?>
<Relationships xmlns="http://schemas.openxmlformats.org/package/2006/relationships"><Relationship Id="rId8" Type="http://schemas.openxmlformats.org/officeDocument/2006/relationships/hyperlink" Target="#Water!K2"/><Relationship Id="rId13" Type="http://schemas.openxmlformats.org/officeDocument/2006/relationships/image" Target="../media/image53.png"/><Relationship Id="rId18" Type="http://schemas.openxmlformats.org/officeDocument/2006/relationships/hyperlink" Target="#Innovation!K2"/><Relationship Id="rId3" Type="http://schemas.openxmlformats.org/officeDocument/2006/relationships/hyperlink" Target="http://vgbc.org.vn/" TargetMode="External"/><Relationship Id="rId21" Type="http://schemas.openxmlformats.org/officeDocument/2006/relationships/image" Target="../media/image57.png"/><Relationship Id="rId7" Type="http://schemas.openxmlformats.org/officeDocument/2006/relationships/image" Target="../media/image50.png"/><Relationship Id="rId12" Type="http://schemas.openxmlformats.org/officeDocument/2006/relationships/hyperlink" Target="#'Health &amp; Comfort'!K2"/><Relationship Id="rId17" Type="http://schemas.openxmlformats.org/officeDocument/2006/relationships/image" Target="../media/image55.png"/><Relationship Id="rId2" Type="http://schemas.openxmlformats.org/officeDocument/2006/relationships/hyperlink" Target="#Introduction!N3"/><Relationship Id="rId16" Type="http://schemas.openxmlformats.org/officeDocument/2006/relationships/hyperlink" Target="#Management!K2"/><Relationship Id="rId20" Type="http://schemas.openxmlformats.org/officeDocument/2006/relationships/hyperlink" Target="#'Waste &amp; Pollution'!K2"/><Relationship Id="rId1" Type="http://schemas.openxmlformats.org/officeDocument/2006/relationships/hyperlink" Target="#Instructions!N4"/><Relationship Id="rId6" Type="http://schemas.openxmlformats.org/officeDocument/2006/relationships/hyperlink" Target="#Energy!K2"/><Relationship Id="rId11" Type="http://schemas.openxmlformats.org/officeDocument/2006/relationships/image" Target="../media/image52.png"/><Relationship Id="rId5" Type="http://schemas.openxmlformats.org/officeDocument/2006/relationships/hyperlink" Target="#'Graphical Results'!C7"/><Relationship Id="rId15" Type="http://schemas.openxmlformats.org/officeDocument/2006/relationships/image" Target="../media/image54.png"/><Relationship Id="rId10" Type="http://schemas.openxmlformats.org/officeDocument/2006/relationships/hyperlink" Target="#Materials!K2"/><Relationship Id="rId19" Type="http://schemas.openxmlformats.org/officeDocument/2006/relationships/image" Target="../media/image56.png"/><Relationship Id="rId4" Type="http://schemas.openxmlformats.org/officeDocument/2006/relationships/image" Target="../media/image2.jpeg"/><Relationship Id="rId9" Type="http://schemas.openxmlformats.org/officeDocument/2006/relationships/image" Target="../media/image51.png"/><Relationship Id="rId14" Type="http://schemas.openxmlformats.org/officeDocument/2006/relationships/hyperlink" Target="#'Location &amp; Transportation'!K2"/></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hyperlink" Target="#Introduction!N3"/><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structions!N4"/><Relationship Id="rId5" Type="http://schemas.openxmlformats.org/officeDocument/2006/relationships/hyperlink" Target="#'LOTUS Interiors Scorecard'!J2"/><Relationship Id="rId4"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LOTUS Interiors Scorecard'!J2"/></Relationships>
</file>

<file path=xl/drawings/_rels/drawing15.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hyperlink" Target="#'E-1 Space cooling'!A9:K9"/><Relationship Id="rId3" Type="http://schemas.openxmlformats.org/officeDocument/2006/relationships/hyperlink" Target="#Energy!K2"/><Relationship Id="rId7" Type="http://schemas.openxmlformats.org/officeDocument/2006/relationships/hyperlink" Target="#'E-1 Space cooling'!A255:K328"/><Relationship Id="rId12" Type="http://schemas.openxmlformats.org/officeDocument/2006/relationships/image" Target="../media/image62.png"/><Relationship Id="rId2" Type="http://schemas.openxmlformats.org/officeDocument/2006/relationships/hyperlink" Target="#'E-1 Space cooling'!A72:N134"/><Relationship Id="rId1" Type="http://schemas.openxmlformats.org/officeDocument/2006/relationships/hyperlink" Target="#'E-1 Space cooling'!A19:N71"/><Relationship Id="rId6" Type="http://schemas.openxmlformats.org/officeDocument/2006/relationships/hyperlink" Target="#'E-1 Space cooling'!A188:K254"/><Relationship Id="rId11" Type="http://schemas.openxmlformats.org/officeDocument/2006/relationships/image" Target="../media/image61.png"/><Relationship Id="rId5" Type="http://schemas.openxmlformats.org/officeDocument/2006/relationships/hyperlink" Target="#'E-1 Space cooling'!A140:N187"/><Relationship Id="rId15" Type="http://schemas.openxmlformats.org/officeDocument/2006/relationships/image" Target="../media/image64.emf"/><Relationship Id="rId10" Type="http://schemas.openxmlformats.org/officeDocument/2006/relationships/image" Target="../media/image60.png"/><Relationship Id="rId4" Type="http://schemas.openxmlformats.org/officeDocument/2006/relationships/hyperlink" Target="#'LOTUS Interiors Scorecard'!J2"/><Relationship Id="rId9" Type="http://schemas.openxmlformats.org/officeDocument/2006/relationships/image" Target="../media/image59.png"/><Relationship Id="rId14" Type="http://schemas.openxmlformats.org/officeDocument/2006/relationships/image" Target="../media/image63.emf"/></Relationships>
</file>

<file path=xl/drawings/_rels/drawing16.xml.rels><?xml version="1.0" encoding="UTF-8" standalone="yes"?>
<Relationships xmlns="http://schemas.openxmlformats.org/package/2006/relationships"><Relationship Id="rId8" Type="http://schemas.openxmlformats.org/officeDocument/2006/relationships/image" Target="../media/image65.png"/><Relationship Id="rId13" Type="http://schemas.openxmlformats.org/officeDocument/2006/relationships/image" Target="../media/image59.png"/><Relationship Id="rId3" Type="http://schemas.openxmlformats.org/officeDocument/2006/relationships/hyperlink" Target="#'E-2 Artificial Lighting'!A18:K92"/><Relationship Id="rId7" Type="http://schemas.openxmlformats.org/officeDocument/2006/relationships/image" Target="../media/image61.png"/><Relationship Id="rId12" Type="http://schemas.openxmlformats.org/officeDocument/2006/relationships/image" Target="../media/image60.png"/><Relationship Id="rId2" Type="http://schemas.openxmlformats.org/officeDocument/2006/relationships/hyperlink" Target="#'LOTUS Interiors Scorecard'!J2"/><Relationship Id="rId1" Type="http://schemas.openxmlformats.org/officeDocument/2006/relationships/hyperlink" Target="#Energy!K2"/><Relationship Id="rId6" Type="http://schemas.openxmlformats.org/officeDocument/2006/relationships/hyperlink" Target="#'E-2 Artificial Lighting'!A223:K270"/><Relationship Id="rId11" Type="http://schemas.openxmlformats.org/officeDocument/2006/relationships/image" Target="../media/image67.png"/><Relationship Id="rId5" Type="http://schemas.openxmlformats.org/officeDocument/2006/relationships/hyperlink" Target="#'E-2 Artificial Lighting'!A146:K222"/><Relationship Id="rId10" Type="http://schemas.openxmlformats.org/officeDocument/2006/relationships/image" Target="../media/image58.png"/><Relationship Id="rId4" Type="http://schemas.openxmlformats.org/officeDocument/2006/relationships/hyperlink" Target="#'E-2 Artificial Lighting'!A93:K145"/><Relationship Id="rId9" Type="http://schemas.openxmlformats.org/officeDocument/2006/relationships/image" Target="../media/image66.png"/><Relationship Id="rId14" Type="http://schemas.openxmlformats.org/officeDocument/2006/relationships/hyperlink" Target="#'E-2 Artificial Lighting'!A9:K9"/></Relationships>
</file>

<file path=xl/drawings/_rels/drawing17.xml.rels><?xml version="1.0" encoding="UTF-8" standalone="yes"?>
<Relationships xmlns="http://schemas.openxmlformats.org/package/2006/relationships"><Relationship Id="rId8" Type="http://schemas.openxmlformats.org/officeDocument/2006/relationships/image" Target="../media/image69.png"/><Relationship Id="rId3" Type="http://schemas.openxmlformats.org/officeDocument/2006/relationships/hyperlink" Target="#'E-3 Energy Efficient Appliances'!A16:K73"/><Relationship Id="rId7" Type="http://schemas.openxmlformats.org/officeDocument/2006/relationships/image" Target="../media/image59.png"/><Relationship Id="rId2" Type="http://schemas.openxmlformats.org/officeDocument/2006/relationships/hyperlink" Target="#'LOTUS Interiors Scorecard'!J2"/><Relationship Id="rId1" Type="http://schemas.openxmlformats.org/officeDocument/2006/relationships/hyperlink" Target="#Energy!K2"/><Relationship Id="rId6" Type="http://schemas.openxmlformats.org/officeDocument/2006/relationships/image" Target="../media/image60.png"/><Relationship Id="rId11" Type="http://schemas.openxmlformats.org/officeDocument/2006/relationships/image" Target="../media/image61.png"/><Relationship Id="rId5" Type="http://schemas.openxmlformats.org/officeDocument/2006/relationships/image" Target="../media/image68.png"/><Relationship Id="rId10" Type="http://schemas.openxmlformats.org/officeDocument/2006/relationships/hyperlink" Target="#'E-3 Energy Efficient Appliances'!A9:K9"/><Relationship Id="rId4" Type="http://schemas.openxmlformats.org/officeDocument/2006/relationships/hyperlink" Target="#'E-3 Energy Efficient Appliances'!A74:K117"/><Relationship Id="rId9" Type="http://schemas.openxmlformats.org/officeDocument/2006/relationships/image" Target="../media/image58.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60.png"/><Relationship Id="rId7" Type="http://schemas.openxmlformats.org/officeDocument/2006/relationships/hyperlink" Target="#'E-4 Energy Monitoring'!A76:N112"/><Relationship Id="rId2" Type="http://schemas.openxmlformats.org/officeDocument/2006/relationships/hyperlink" Target="#'LOTUS Interiors Scorecard'!J2"/><Relationship Id="rId1" Type="http://schemas.openxmlformats.org/officeDocument/2006/relationships/hyperlink" Target="#Energy!K2"/><Relationship Id="rId6" Type="http://schemas.openxmlformats.org/officeDocument/2006/relationships/hyperlink" Target="#'E-4 Energy Monitoring'!A17:N75"/><Relationship Id="rId5" Type="http://schemas.openxmlformats.org/officeDocument/2006/relationships/hyperlink" Target="#'E-4 Energy Monitoring'!A9:K9"/><Relationship Id="rId4" Type="http://schemas.openxmlformats.org/officeDocument/2006/relationships/image" Target="../media/image59.png"/><Relationship Id="rId9" Type="http://schemas.openxmlformats.org/officeDocument/2006/relationships/image" Target="../media/image70.png"/></Relationships>
</file>

<file path=xl/drawings/_rels/drawing19.xml.rels><?xml version="1.0" encoding="UTF-8" standalone="yes"?>
<Relationships xmlns="http://schemas.openxmlformats.org/package/2006/relationships"><Relationship Id="rId2" Type="http://schemas.openxmlformats.org/officeDocument/2006/relationships/hyperlink" Target="#'LOTUS Interiors Scorecard'!J2"/><Relationship Id="rId1" Type="http://schemas.openxmlformats.org/officeDocument/2006/relationships/image" Target="../media/image5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15.png"/><Relationship Id="rId21" Type="http://schemas.openxmlformats.org/officeDocument/2006/relationships/hyperlink" Target="http://www.greenviet.net/" TargetMode="External"/><Relationship Id="rId42" Type="http://schemas.openxmlformats.org/officeDocument/2006/relationships/hyperlink" Target="http://www.ecowool.com.my/" TargetMode="External"/><Relationship Id="rId47" Type="http://schemas.openxmlformats.org/officeDocument/2006/relationships/image" Target="../media/image26.jpeg"/><Relationship Id="rId63" Type="http://schemas.openxmlformats.org/officeDocument/2006/relationships/image" Target="../media/image34.jpeg"/><Relationship Id="rId68" Type="http://schemas.openxmlformats.org/officeDocument/2006/relationships/hyperlink" Target="http://www.fico.com.vn/" TargetMode="External"/><Relationship Id="rId7" Type="http://schemas.openxmlformats.org/officeDocument/2006/relationships/image" Target="../media/image5.jpeg"/><Relationship Id="rId2" Type="http://schemas.openxmlformats.org/officeDocument/2006/relationships/hyperlink" Target="#Instructions!N4"/><Relationship Id="rId16" Type="http://schemas.openxmlformats.org/officeDocument/2006/relationships/hyperlink" Target="http://www.vilandco.com/" TargetMode="External"/><Relationship Id="rId29" Type="http://schemas.openxmlformats.org/officeDocument/2006/relationships/hyperlink" Target="http://www.arteliagroup.com/" TargetMode="External"/><Relationship Id="rId11" Type="http://schemas.openxmlformats.org/officeDocument/2006/relationships/image" Target="../media/image7.png"/><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hyperlink" Target="http://www.kone.vn/" TargetMode="External"/><Relationship Id="rId40" Type="http://schemas.openxmlformats.org/officeDocument/2006/relationships/hyperlink" Target="http://www.http/poongcheon-group.com" TargetMode="External"/><Relationship Id="rId45" Type="http://schemas.openxmlformats.org/officeDocument/2006/relationships/image" Target="../media/image25.jpeg"/><Relationship Id="rId53" Type="http://schemas.openxmlformats.org/officeDocument/2006/relationships/hyperlink" Target="http://www.master-builders-solutions.basf.vn/" TargetMode="External"/><Relationship Id="rId58" Type="http://schemas.openxmlformats.org/officeDocument/2006/relationships/image" Target="../media/image31.png"/><Relationship Id="rId66" Type="http://schemas.openxmlformats.org/officeDocument/2006/relationships/image" Target="../media/image36.png"/><Relationship Id="rId5" Type="http://schemas.openxmlformats.org/officeDocument/2006/relationships/image" Target="../media/image4.png"/><Relationship Id="rId61" Type="http://schemas.openxmlformats.org/officeDocument/2006/relationships/hyperlink" Target="http://www.seas.com.vn/en/" TargetMode="External"/><Relationship Id="rId19" Type="http://schemas.openxmlformats.org/officeDocument/2006/relationships/hyperlink" Target="http://www.bluescope.com.vn/" TargetMode="External"/><Relationship Id="rId14" Type="http://schemas.openxmlformats.org/officeDocument/2006/relationships/hyperlink" Target="http://www.vicostone.com/" TargetMode="External"/><Relationship Id="rId22" Type="http://schemas.openxmlformats.org/officeDocument/2006/relationships/image" Target="../media/image13.png"/><Relationship Id="rId27" Type="http://schemas.openxmlformats.org/officeDocument/2006/relationships/hyperlink" Target="http://www.vnm.sika.com/" TargetMode="External"/><Relationship Id="rId30" Type="http://schemas.openxmlformats.org/officeDocument/2006/relationships/image" Target="../media/image17.png"/><Relationship Id="rId35" Type="http://schemas.openxmlformats.org/officeDocument/2006/relationships/hyperlink" Target="http://vn.grundfos.com/" TargetMode="External"/><Relationship Id="rId43" Type="http://schemas.openxmlformats.org/officeDocument/2006/relationships/image" Target="../media/image24.png"/><Relationship Id="rId48" Type="http://schemas.openxmlformats.org/officeDocument/2006/relationships/hyperlink" Target="http://www.tranevietnam.com/" TargetMode="External"/><Relationship Id="rId56" Type="http://schemas.openxmlformats.org/officeDocument/2006/relationships/image" Target="../media/image30.png"/><Relationship Id="rId64" Type="http://schemas.openxmlformats.org/officeDocument/2006/relationships/image" Target="../media/image35.png"/><Relationship Id="rId69" Type="http://schemas.openxmlformats.org/officeDocument/2006/relationships/image" Target="../media/image38.jpeg"/><Relationship Id="rId8" Type="http://schemas.openxmlformats.org/officeDocument/2006/relationships/hyperlink" Target="http://www.greenconsult-asia.com/" TargetMode="External"/><Relationship Id="rId51" Type="http://schemas.openxmlformats.org/officeDocument/2006/relationships/image" Target="../media/image28.png"/><Relationship Id="rId3" Type="http://schemas.openxmlformats.org/officeDocument/2006/relationships/hyperlink" Target="#Introduction!N3"/><Relationship Id="rId12" Type="http://schemas.openxmlformats.org/officeDocument/2006/relationships/hyperlink" Target="http://www.phuckhang.vn/" TargetMode="External"/><Relationship Id="rId17" Type="http://schemas.openxmlformats.org/officeDocument/2006/relationships/image" Target="../media/image10.png"/><Relationship Id="rId25" Type="http://schemas.openxmlformats.org/officeDocument/2006/relationships/hyperlink" Target="http://www.spcc.com.vn/" TargetMode="External"/><Relationship Id="rId33" Type="http://schemas.openxmlformats.org/officeDocument/2006/relationships/hyperlink" Target="http://bumatech.vn/" TargetMode="External"/><Relationship Id="rId38" Type="http://schemas.openxmlformats.org/officeDocument/2006/relationships/image" Target="../media/image21.png"/><Relationship Id="rId46" Type="http://schemas.openxmlformats.org/officeDocument/2006/relationships/hyperlink" Target="http://tanphatlong.com.vn/" TargetMode="External"/><Relationship Id="rId59" Type="http://schemas.openxmlformats.org/officeDocument/2006/relationships/hyperlink" Target="https://www.royalhaskoningdhv.com/en/vietnam" TargetMode="External"/><Relationship Id="rId67" Type="http://schemas.openxmlformats.org/officeDocument/2006/relationships/image" Target="../media/image37.jpeg"/><Relationship Id="rId20" Type="http://schemas.openxmlformats.org/officeDocument/2006/relationships/image" Target="../media/image12.png"/><Relationship Id="rId41" Type="http://schemas.openxmlformats.org/officeDocument/2006/relationships/image" Target="../media/image23.png"/><Relationship Id="rId54" Type="http://schemas.openxmlformats.org/officeDocument/2006/relationships/image" Target="../media/image29.png"/><Relationship Id="rId62" Type="http://schemas.openxmlformats.org/officeDocument/2006/relationships/image" Target="../media/image33.png"/><Relationship Id="rId70" Type="http://schemas.openxmlformats.org/officeDocument/2006/relationships/image" Target="../media/image39.jpeg"/><Relationship Id="rId1" Type="http://schemas.openxmlformats.org/officeDocument/2006/relationships/hyperlink" Target="#'LOTUS Interiors Scorecard'!J2"/><Relationship Id="rId6" Type="http://schemas.openxmlformats.org/officeDocument/2006/relationships/hyperlink" Target="http://www.graphenstone.vn/" TargetMode="External"/><Relationship Id="rId15" Type="http://schemas.openxmlformats.org/officeDocument/2006/relationships/image" Target="../media/image9.png"/><Relationship Id="rId23" Type="http://schemas.openxmlformats.org/officeDocument/2006/relationships/hyperlink" Target="http://searefico.com/" TargetMode="External"/><Relationship Id="rId28" Type="http://schemas.openxmlformats.org/officeDocument/2006/relationships/image" Target="../media/image16.png"/><Relationship Id="rId36" Type="http://schemas.openxmlformats.org/officeDocument/2006/relationships/image" Target="../media/image20.png"/><Relationship Id="rId49" Type="http://schemas.openxmlformats.org/officeDocument/2006/relationships/image" Target="../media/image27.png"/><Relationship Id="rId57" Type="http://schemas.openxmlformats.org/officeDocument/2006/relationships/hyperlink" Target="http://www.reeme.com.vn/" TargetMode="External"/><Relationship Id="rId10" Type="http://schemas.openxmlformats.org/officeDocument/2006/relationships/hyperlink" Target="http://www.saint-gobain.com/" TargetMode="External"/><Relationship Id="rId31" Type="http://schemas.openxmlformats.org/officeDocument/2006/relationships/hyperlink" Target="http://www.boydensvn.com/" TargetMode="External"/><Relationship Id="rId44" Type="http://schemas.openxmlformats.org/officeDocument/2006/relationships/hyperlink" Target="http://www.ptw.com.au/" TargetMode="External"/><Relationship Id="rId52" Type="http://schemas.openxmlformats.org/officeDocument/2006/relationships/hyperlink" Target="http://acsc.com.vn/gioi-thieu.html" TargetMode="External"/><Relationship Id="rId60" Type="http://schemas.openxmlformats.org/officeDocument/2006/relationships/image" Target="../media/image32.png"/><Relationship Id="rId65" Type="http://schemas.openxmlformats.org/officeDocument/2006/relationships/hyperlink" Target="http://www.hkland.com/" TargetMode="External"/><Relationship Id="rId4" Type="http://schemas.openxmlformats.org/officeDocument/2006/relationships/hyperlink" Target="http://www.bciasia.com/" TargetMode="External"/><Relationship Id="rId9"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image" Target="../media/image11.png"/><Relationship Id="rId39" Type="http://schemas.openxmlformats.org/officeDocument/2006/relationships/image" Target="../media/image22.png"/><Relationship Id="rId34" Type="http://schemas.openxmlformats.org/officeDocument/2006/relationships/image" Target="../media/image19.jpeg"/><Relationship Id="rId50" Type="http://schemas.openxmlformats.org/officeDocument/2006/relationships/hyperlink" Target="http://www.vn.undp.org/" TargetMode="External"/><Relationship Id="rId55" Type="http://schemas.openxmlformats.org/officeDocument/2006/relationships/hyperlink" Target="http://www.iesve.com/" TargetMode="External"/></Relationships>
</file>

<file path=xl/drawings/_rels/drawing20.xml.rels><?xml version="1.0" encoding="UTF-8" standalone="yes"?>
<Relationships xmlns="http://schemas.openxmlformats.org/package/2006/relationships"><Relationship Id="rId8" Type="http://schemas.openxmlformats.org/officeDocument/2006/relationships/hyperlink" Target="#'W-PR-1 &amp; W-1 Efficient Fixtures'!A95:K157"/><Relationship Id="rId13" Type="http://schemas.openxmlformats.org/officeDocument/2006/relationships/image" Target="../media/image73.png"/><Relationship Id="rId3" Type="http://schemas.openxmlformats.org/officeDocument/2006/relationships/hyperlink" Target="#'W-PR-1 &amp; W-1 Efficient Fixtures'!A91:K235"/><Relationship Id="rId7" Type="http://schemas.openxmlformats.org/officeDocument/2006/relationships/image" Target="../media/image72.png"/><Relationship Id="rId12" Type="http://schemas.openxmlformats.org/officeDocument/2006/relationships/hyperlink" Target="#'W-PR-1 &amp; W-1 Efficient Fixtures'!A311:K345"/><Relationship Id="rId17" Type="http://schemas.openxmlformats.org/officeDocument/2006/relationships/hyperlink" Target="#'W-PR-1 &amp; W-1 Efficient Fixtures'!A9:K9"/><Relationship Id="rId2" Type="http://schemas.openxmlformats.org/officeDocument/2006/relationships/hyperlink" Target="#'LOTUS Interiors Scorecard'!J2"/><Relationship Id="rId16" Type="http://schemas.openxmlformats.org/officeDocument/2006/relationships/hyperlink" Target="#'W-PR-1 &amp; W-1 Efficient Fixtures'!A346:K400"/><Relationship Id="rId1" Type="http://schemas.openxmlformats.org/officeDocument/2006/relationships/hyperlink" Target="#Water!K2"/><Relationship Id="rId6" Type="http://schemas.openxmlformats.org/officeDocument/2006/relationships/image" Target="../media/image71.png"/><Relationship Id="rId11" Type="http://schemas.openxmlformats.org/officeDocument/2006/relationships/hyperlink" Target="#'W-PR-1 &amp; W-1 Efficient Fixtures'!A250:K312"/><Relationship Id="rId5" Type="http://schemas.openxmlformats.org/officeDocument/2006/relationships/hyperlink" Target="#'W-PR-1 &amp; W-1 Efficient Fixtures'!A28:K90"/><Relationship Id="rId15" Type="http://schemas.openxmlformats.org/officeDocument/2006/relationships/hyperlink" Target="#Resources!A3:Q72"/><Relationship Id="rId10" Type="http://schemas.openxmlformats.org/officeDocument/2006/relationships/hyperlink" Target="#'W-PR-1 &amp; W-1 Efficient Fixtures'!A193:K245"/><Relationship Id="rId4" Type="http://schemas.openxmlformats.org/officeDocument/2006/relationships/hyperlink" Target="#'W-PR-1 &amp; W-1 Efficient Fixtures'!A246:K398"/><Relationship Id="rId9" Type="http://schemas.openxmlformats.org/officeDocument/2006/relationships/hyperlink" Target="#'W-PR-1 &amp; W-1 Efficient Fixtures'!A158:K191"/><Relationship Id="rId14"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hyperlink" Target="#'LOTUS Interiors Scorecard'!J2"/><Relationship Id="rId1" Type="http://schemas.openxmlformats.org/officeDocument/2006/relationships/hyperlink" Target="#Water!K2"/><Relationship Id="rId5" Type="http://schemas.openxmlformats.org/officeDocument/2006/relationships/hyperlink" Target="#'W-2 Drinking Water '!A9:K9"/><Relationship Id="rId4" Type="http://schemas.openxmlformats.org/officeDocument/2006/relationships/image" Target="../media/image71.png"/></Relationships>
</file>

<file path=xl/drawings/_rels/drawing22.xml.rels><?xml version="1.0" encoding="UTF-8" standalone="yes"?>
<Relationships xmlns="http://schemas.openxmlformats.org/package/2006/relationships"><Relationship Id="rId2" Type="http://schemas.openxmlformats.org/officeDocument/2006/relationships/hyperlink" Target="#'LOTUS Interiors Scorecard'!J2"/><Relationship Id="rId1" Type="http://schemas.openxmlformats.org/officeDocument/2006/relationships/image" Target="../media/image52.png"/></Relationships>
</file>

<file path=xl/drawings/_rels/drawing23.xml.rels><?xml version="1.0" encoding="UTF-8" standalone="yes"?>
<Relationships xmlns="http://schemas.openxmlformats.org/package/2006/relationships"><Relationship Id="rId2" Type="http://schemas.openxmlformats.org/officeDocument/2006/relationships/hyperlink" Target="#Materials!K2"/><Relationship Id="rId1" Type="http://schemas.openxmlformats.org/officeDocument/2006/relationships/hyperlink" Target="#'LOTUS Interiors Scorecard'!J2"/></Relationships>
</file>

<file path=xl/drawings/_rels/drawing24.xml.rels><?xml version="1.0" encoding="UTF-8" standalone="yes"?>
<Relationships xmlns="http://schemas.openxmlformats.org/package/2006/relationships"><Relationship Id="rId3" Type="http://schemas.openxmlformats.org/officeDocument/2006/relationships/image" Target="../media/image75.png"/><Relationship Id="rId7" Type="http://schemas.openxmlformats.org/officeDocument/2006/relationships/hyperlink" Target="#'Materials Glossary'!A1"/><Relationship Id="rId2" Type="http://schemas.openxmlformats.org/officeDocument/2006/relationships/hyperlink" Target="#Materials!K2"/><Relationship Id="rId1" Type="http://schemas.openxmlformats.org/officeDocument/2006/relationships/hyperlink" Target="#'LOTUS Interiors Scorecard'!J2"/><Relationship Id="rId6" Type="http://schemas.openxmlformats.org/officeDocument/2006/relationships/image" Target="../media/image77.png"/><Relationship Id="rId5" Type="http://schemas.openxmlformats.org/officeDocument/2006/relationships/hyperlink" Target="#'M-1 Sustainable Materials'!A9:K9"/><Relationship Id="rId4" Type="http://schemas.openxmlformats.org/officeDocument/2006/relationships/image" Target="../media/image7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78.png"/><Relationship Id="rId3" Type="http://schemas.openxmlformats.org/officeDocument/2006/relationships/image" Target="../media/image75.png"/><Relationship Id="rId7" Type="http://schemas.openxmlformats.org/officeDocument/2006/relationships/image" Target="../media/image77.png"/><Relationship Id="rId2" Type="http://schemas.openxmlformats.org/officeDocument/2006/relationships/hyperlink" Target="#Materials!K2"/><Relationship Id="rId1" Type="http://schemas.openxmlformats.org/officeDocument/2006/relationships/hyperlink" Target="#'LOTUS Interiors Scorecard'!J2"/><Relationship Id="rId6" Type="http://schemas.openxmlformats.org/officeDocument/2006/relationships/hyperlink" Target="#'Materials Glossary'!A1"/><Relationship Id="rId5" Type="http://schemas.openxmlformats.org/officeDocument/2006/relationships/hyperlink" Target="#'M-2 Sustainable Furniture'!A9:K9"/><Relationship Id="rId4" Type="http://schemas.openxmlformats.org/officeDocument/2006/relationships/image" Target="../media/image7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LOTUS Interiors Scorecard'!J2"/></Relationships>
</file>

<file path=xl/drawings/_rels/drawing27.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WP-1 Refrigerants'!A18:A25"/><Relationship Id="rId3" Type="http://schemas.openxmlformats.org/officeDocument/2006/relationships/hyperlink" Target="#'WP-1 Refrigerants'!A26:N55"/><Relationship Id="rId7" Type="http://schemas.openxmlformats.org/officeDocument/2006/relationships/image" Target="../media/image79.png"/><Relationship Id="rId12" Type="http://schemas.openxmlformats.org/officeDocument/2006/relationships/hyperlink" Target="#'WP-1 Refrigerants'!A9:K9"/><Relationship Id="rId2" Type="http://schemas.openxmlformats.org/officeDocument/2006/relationships/hyperlink" Target="#'LOTUS Interiors Scorecard'!J2"/><Relationship Id="rId1" Type="http://schemas.openxmlformats.org/officeDocument/2006/relationships/hyperlink" Target="#'Waste &amp; Pollution'!K2"/><Relationship Id="rId6" Type="http://schemas.openxmlformats.org/officeDocument/2006/relationships/hyperlink" Target="#'WP-1 Refrigerants'!A112:N162"/><Relationship Id="rId11" Type="http://schemas.openxmlformats.org/officeDocument/2006/relationships/image" Target="../media/image83.png"/><Relationship Id="rId5" Type="http://schemas.openxmlformats.org/officeDocument/2006/relationships/hyperlink" Target="#Resources!A73:Q87"/><Relationship Id="rId10" Type="http://schemas.openxmlformats.org/officeDocument/2006/relationships/image" Target="../media/image82.png"/><Relationship Id="rId4" Type="http://schemas.openxmlformats.org/officeDocument/2006/relationships/hyperlink" Target="#'WP-1 Refrigerants'!A56:N111"/><Relationship Id="rId9" Type="http://schemas.openxmlformats.org/officeDocument/2006/relationships/image" Target="../media/image81.png"/><Relationship Id="rId14" Type="http://schemas.openxmlformats.org/officeDocument/2006/relationships/image" Target="../media/image84.png"/></Relationships>
</file>

<file path=xl/drawings/_rels/drawing28.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hyperlink" Target="#'WP-PR-1 &amp; WP-2 Fit-out Waste'!A64:A103"/><Relationship Id="rId7" Type="http://schemas.openxmlformats.org/officeDocument/2006/relationships/image" Target="../media/image83.png"/><Relationship Id="rId2" Type="http://schemas.openxmlformats.org/officeDocument/2006/relationships/hyperlink" Target="#'Waste &amp; Pollution'!K2"/><Relationship Id="rId1" Type="http://schemas.openxmlformats.org/officeDocument/2006/relationships/hyperlink" Target="#'LOTUS Interiors Scorecard'!J2"/><Relationship Id="rId6" Type="http://schemas.openxmlformats.org/officeDocument/2006/relationships/image" Target="../media/image82.png"/><Relationship Id="rId5" Type="http://schemas.openxmlformats.org/officeDocument/2006/relationships/hyperlink" Target="#'WP-PR-1 &amp; WP-2 Fit-out Waste'!A19:A63"/><Relationship Id="rId4" Type="http://schemas.openxmlformats.org/officeDocument/2006/relationships/hyperlink" Target="#'WP-PR-1 &amp; WP-2 Fit-out Waste'!A104:A131"/><Relationship Id="rId9" Type="http://schemas.openxmlformats.org/officeDocument/2006/relationships/hyperlink" Target="#'WP-PR-1 &amp; WP-2 Fit-out Waste'!A9"/></Relationships>
</file>

<file path=xl/drawings/_rels/drawing29.xml.rels><?xml version="1.0" encoding="UTF-8" standalone="yes"?>
<Relationships xmlns="http://schemas.openxmlformats.org/package/2006/relationships"><Relationship Id="rId8" Type="http://schemas.openxmlformats.org/officeDocument/2006/relationships/hyperlink" Target="#'WP-3 Operation Waste Management'!A9"/><Relationship Id="rId3" Type="http://schemas.openxmlformats.org/officeDocument/2006/relationships/hyperlink" Target="#'WP-3 Operation Waste Management'!A16:A43"/><Relationship Id="rId7" Type="http://schemas.openxmlformats.org/officeDocument/2006/relationships/image" Target="../media/image83.png"/><Relationship Id="rId2" Type="http://schemas.openxmlformats.org/officeDocument/2006/relationships/hyperlink" Target="#'Waste &amp; Pollution'!K2"/><Relationship Id="rId1" Type="http://schemas.openxmlformats.org/officeDocument/2006/relationships/hyperlink" Target="#'LOTUS Interiors Scorecard'!J2"/><Relationship Id="rId6" Type="http://schemas.openxmlformats.org/officeDocument/2006/relationships/image" Target="../media/image82.png"/><Relationship Id="rId5" Type="http://schemas.openxmlformats.org/officeDocument/2006/relationships/image" Target="../media/image85.emf"/><Relationship Id="rId4" Type="http://schemas.openxmlformats.org/officeDocument/2006/relationships/hyperlink" Target="#'WP-3 Operation Waste Management'!A44:A90"/></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hyperlink" Target="#Recommendations!N4"/><Relationship Id="rId7" Type="http://schemas.openxmlformats.org/officeDocument/2006/relationships/hyperlink" Target="#'Graphical Results'!C8"/><Relationship Id="rId12" Type="http://schemas.openxmlformats.org/officeDocument/2006/relationships/hyperlink" Target="#Introduction!B8"/><Relationship Id="rId2" Type="http://schemas.openxmlformats.org/officeDocument/2006/relationships/image" Target="../media/image41.emf"/><Relationship Id="rId1" Type="http://schemas.openxmlformats.org/officeDocument/2006/relationships/image" Target="../media/image40.emf"/><Relationship Id="rId6" Type="http://schemas.openxmlformats.org/officeDocument/2006/relationships/hyperlink" Target="#'Project information'!A1"/><Relationship Id="rId11" Type="http://schemas.openxmlformats.org/officeDocument/2006/relationships/image" Target="../media/image43.png"/><Relationship Id="rId5" Type="http://schemas.openxmlformats.org/officeDocument/2006/relationships/hyperlink" Target="#Instructions!N4"/><Relationship Id="rId10" Type="http://schemas.openxmlformats.org/officeDocument/2006/relationships/hyperlink" Target="#Glossary!A1"/><Relationship Id="rId4" Type="http://schemas.openxmlformats.org/officeDocument/2006/relationships/hyperlink" Target="#'LOTUS Interiors Scorecard'!J2"/><Relationship Id="rId9" Type="http://schemas.openxmlformats.org/officeDocument/2006/relationships/hyperlink" Target="#'LOTUS Interiors Eligibility'!A1"/></Relationships>
</file>

<file path=xl/drawings/_rels/drawing30.xml.rels><?xml version="1.0" encoding="UTF-8" standalone="yes"?>
<Relationships xmlns="http://schemas.openxmlformats.org/package/2006/relationships"><Relationship Id="rId2" Type="http://schemas.openxmlformats.org/officeDocument/2006/relationships/hyperlink" Target="#'LOTUS Interiors Scorecard'!J2"/><Relationship Id="rId1" Type="http://schemas.openxmlformats.org/officeDocument/2006/relationships/image" Target="../media/image5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86.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PR-1 Indoor Smoking'!A9:K9"/><Relationship Id="rId5" Type="http://schemas.openxmlformats.org/officeDocument/2006/relationships/image" Target="../media/image88.png"/><Relationship Id="rId4" Type="http://schemas.openxmlformats.org/officeDocument/2006/relationships/image" Target="../media/image8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1 Fresh Air Supply'!A9:K9"/><Relationship Id="rId5" Type="http://schemas.openxmlformats.org/officeDocument/2006/relationships/image" Target="../media/image87.png"/><Relationship Id="rId4" Type="http://schemas.openxmlformats.org/officeDocument/2006/relationships/image" Target="../media/image8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2 CO2 Monitoring'!A9"/><Relationship Id="rId5" Type="http://schemas.openxmlformats.org/officeDocument/2006/relationships/image" Target="../media/image91.png"/><Relationship Id="rId4" Type="http://schemas.openxmlformats.org/officeDocument/2006/relationships/image" Target="../media/image87.png"/></Relationships>
</file>

<file path=xl/drawings/_rels/drawing34.xml.rels><?xml version="1.0" encoding="UTF-8" standalone="yes"?>
<Relationships xmlns="http://schemas.openxmlformats.org/package/2006/relationships"><Relationship Id="rId8" Type="http://schemas.openxmlformats.org/officeDocument/2006/relationships/image" Target="../media/image88.png"/><Relationship Id="rId13" Type="http://schemas.openxmlformats.org/officeDocument/2006/relationships/hyperlink" Target="#'H-3 Low-VOC Emissions '!A173:N208"/><Relationship Id="rId3" Type="http://schemas.openxmlformats.org/officeDocument/2006/relationships/hyperlink" Target="#'H-3 Low-VOC Emissions '!A32:N66"/><Relationship Id="rId7" Type="http://schemas.openxmlformats.org/officeDocument/2006/relationships/image" Target="../media/image89.png"/><Relationship Id="rId12" Type="http://schemas.openxmlformats.org/officeDocument/2006/relationships/hyperlink" Target="#'H-3 Low-VOC Emissions '!A19:C31"/><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3 Low-VOC Emissions '!A138:N171"/><Relationship Id="rId11" Type="http://schemas.openxmlformats.org/officeDocument/2006/relationships/hyperlink" Target="#'H-3 Low-VOC Emissions '!A9"/><Relationship Id="rId5" Type="http://schemas.openxmlformats.org/officeDocument/2006/relationships/hyperlink" Target="#'H-3 Low-VOC Emissions '!A102:N137"/><Relationship Id="rId10" Type="http://schemas.openxmlformats.org/officeDocument/2006/relationships/image" Target="../media/image92.png"/><Relationship Id="rId4" Type="http://schemas.openxmlformats.org/officeDocument/2006/relationships/hyperlink" Target="#'H-3 Low-VOC Emissions '!A67:N101"/><Relationship Id="rId9" Type="http://schemas.openxmlformats.org/officeDocument/2006/relationships/image" Target="../media/image87.png"/></Relationships>
</file>

<file path=xl/drawings/_rels/drawing35.xml.rels><?xml version="1.0" encoding="UTF-8" standalone="yes"?>
<Relationships xmlns="http://schemas.openxmlformats.org/package/2006/relationships"><Relationship Id="rId8" Type="http://schemas.openxmlformats.org/officeDocument/2006/relationships/image" Target="../media/image89.png"/><Relationship Id="rId3" Type="http://schemas.openxmlformats.org/officeDocument/2006/relationships/hyperlink" Target="#'H-4 Removal of pollutants'!A17:M64"/><Relationship Id="rId7" Type="http://schemas.openxmlformats.org/officeDocument/2006/relationships/image" Target="../media/image88.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image" Target="../media/image87.png"/><Relationship Id="rId5" Type="http://schemas.openxmlformats.org/officeDocument/2006/relationships/image" Target="../media/image93.png"/><Relationship Id="rId10" Type="http://schemas.openxmlformats.org/officeDocument/2006/relationships/hyperlink" Target="#'H-4 Removal of pollutants'!A9:K9"/><Relationship Id="rId4" Type="http://schemas.openxmlformats.org/officeDocument/2006/relationships/hyperlink" Target="#'H-4 Removal of pollutants'!A65:M95"/><Relationship Id="rId9" Type="http://schemas.openxmlformats.org/officeDocument/2006/relationships/image" Target="../media/image9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Interiors Scorecard'!J2"/><Relationship Id="rId1" Type="http://schemas.openxmlformats.org/officeDocument/2006/relationships/hyperlink" Target="#'Health &amp; Comfort'!K2"/><Relationship Id="rId5" Type="http://schemas.openxmlformats.org/officeDocument/2006/relationships/hyperlink" Target="#'H-5 Interior Plants'!A9"/><Relationship Id="rId4" Type="http://schemas.openxmlformats.org/officeDocument/2006/relationships/image" Target="../media/image87.png"/></Relationships>
</file>

<file path=xl/drawings/_rels/drawing37.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6 Green Cleaning'!A9:K9"/><Relationship Id="rId5" Type="http://schemas.openxmlformats.org/officeDocument/2006/relationships/image" Target="../media/image87.png"/><Relationship Id="rId4" Type="http://schemas.openxmlformats.org/officeDocument/2006/relationships/image" Target="../media/image92.png"/></Relationships>
</file>

<file path=xl/drawings/_rels/drawing38.xml.rels><?xml version="1.0" encoding="UTF-8" standalone="yes"?>
<Relationships xmlns="http://schemas.openxmlformats.org/package/2006/relationships"><Relationship Id="rId8" Type="http://schemas.openxmlformats.org/officeDocument/2006/relationships/hyperlink" Target="#'H-7 Daylighting'!A9:K9"/><Relationship Id="rId3" Type="http://schemas.openxmlformats.org/officeDocument/2006/relationships/hyperlink" Target="#'LOTUS Interiors Scorecard'!J2"/><Relationship Id="rId7" Type="http://schemas.openxmlformats.org/officeDocument/2006/relationships/image" Target="../media/image87.png"/><Relationship Id="rId2" Type="http://schemas.openxmlformats.org/officeDocument/2006/relationships/hyperlink" Target="#'Health &amp; Comfort'!K2"/><Relationship Id="rId1" Type="http://schemas.openxmlformats.org/officeDocument/2006/relationships/hyperlink" Target="#Resources!A88:Q114"/><Relationship Id="rId6" Type="http://schemas.openxmlformats.org/officeDocument/2006/relationships/image" Target="../media/image95.png"/><Relationship Id="rId5" Type="http://schemas.openxmlformats.org/officeDocument/2006/relationships/image" Target="../media/image97.png"/><Relationship Id="rId4" Type="http://schemas.openxmlformats.org/officeDocument/2006/relationships/image" Target="../media/image96.png"/><Relationship Id="rId9" Type="http://schemas.openxmlformats.org/officeDocument/2006/relationships/image" Target="../media/image8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hyperlink" Target="#'H-8 External Views'!A16:N77"/><Relationship Id="rId7" Type="http://schemas.openxmlformats.org/officeDocument/2006/relationships/image" Target="../media/image98.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image" Target="../media/image92.png"/><Relationship Id="rId5" Type="http://schemas.openxmlformats.org/officeDocument/2006/relationships/image" Target="../media/image95.png"/><Relationship Id="rId10" Type="http://schemas.openxmlformats.org/officeDocument/2006/relationships/image" Target="../media/image88.png"/><Relationship Id="rId4" Type="http://schemas.openxmlformats.org/officeDocument/2006/relationships/hyperlink" Target="#'H-8 External Views'!A79:N162"/><Relationship Id="rId9" Type="http://schemas.openxmlformats.org/officeDocument/2006/relationships/hyperlink" Target="#'H-8 External Views'!A9:K9"/></Relationships>
</file>

<file path=xl/drawings/_rels/drawing4.xml.rels><?xml version="1.0" encoding="UTF-8" standalone="yes"?>
<Relationships xmlns="http://schemas.openxmlformats.org/package/2006/relationships"><Relationship Id="rId8" Type="http://schemas.openxmlformats.org/officeDocument/2006/relationships/hyperlink" Target="#Recommendations!N4"/><Relationship Id="rId13" Type="http://schemas.openxmlformats.org/officeDocument/2006/relationships/image" Target="../media/image46.png"/><Relationship Id="rId3" Type="http://schemas.openxmlformats.org/officeDocument/2006/relationships/hyperlink" Target="#'Project information'!A1"/><Relationship Id="rId7" Type="http://schemas.openxmlformats.org/officeDocument/2006/relationships/image" Target="../media/image44.png"/><Relationship Id="rId12" Type="http://schemas.openxmlformats.org/officeDocument/2006/relationships/image" Target="../media/image45.png"/><Relationship Id="rId2" Type="http://schemas.openxmlformats.org/officeDocument/2006/relationships/hyperlink" Target="#'Application Form'!A1"/><Relationship Id="rId16" Type="http://schemas.openxmlformats.org/officeDocument/2006/relationships/hyperlink" Target="#'Additional information'!A1"/><Relationship Id="rId1" Type="http://schemas.openxmlformats.org/officeDocument/2006/relationships/hyperlink" Target="#'LOTUS Interiors Eligibility'!A1"/><Relationship Id="rId6" Type="http://schemas.openxmlformats.org/officeDocument/2006/relationships/hyperlink" Target="#'Full Certification checklist '!A1"/><Relationship Id="rId11" Type="http://schemas.openxmlformats.org/officeDocument/2006/relationships/hyperlink" Target="#Glossary!A1"/><Relationship Id="rId5" Type="http://schemas.openxmlformats.org/officeDocument/2006/relationships/hyperlink" Target="#'Prov. Certification checklist'!W1"/><Relationship Id="rId15" Type="http://schemas.openxmlformats.org/officeDocument/2006/relationships/image" Target="../media/image48.png"/><Relationship Id="rId10" Type="http://schemas.openxmlformats.org/officeDocument/2006/relationships/hyperlink" Target="#'Graphical Results'!C8"/><Relationship Id="rId4" Type="http://schemas.openxmlformats.org/officeDocument/2006/relationships/hyperlink" Target="#'LOTUS Interiors Scorecard'!J2"/><Relationship Id="rId9" Type="http://schemas.openxmlformats.org/officeDocument/2006/relationships/hyperlink" Target="#Introduction!N3"/><Relationship Id="rId14" Type="http://schemas.openxmlformats.org/officeDocument/2006/relationships/image" Target="../media/image47.png"/></Relationships>
</file>

<file path=xl/drawings/_rels/drawing40.xml.rels><?xml version="1.0" encoding="UTF-8" standalone="yes"?>
<Relationships xmlns="http://schemas.openxmlformats.org/package/2006/relationships"><Relationship Id="rId8" Type="http://schemas.openxmlformats.org/officeDocument/2006/relationships/image" Target="../media/image95.png"/><Relationship Id="rId13" Type="http://schemas.openxmlformats.org/officeDocument/2006/relationships/image" Target="../media/image92.png"/><Relationship Id="rId3" Type="http://schemas.openxmlformats.org/officeDocument/2006/relationships/hyperlink" Target="#'H-9 Lighting Comfort'!A23:M82"/><Relationship Id="rId7" Type="http://schemas.openxmlformats.org/officeDocument/2006/relationships/hyperlink" Target="#'H-9 Lighting Comfort'!A223:M278"/><Relationship Id="rId12" Type="http://schemas.openxmlformats.org/officeDocument/2006/relationships/hyperlink" Target="#Resources!A115:Q136"/><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hyperlink" Target="#'H-9 Lighting Comfort'!A170:M222"/><Relationship Id="rId11" Type="http://schemas.openxmlformats.org/officeDocument/2006/relationships/hyperlink" Target="#'H-9 Lighting Comfort'!A9:K9"/><Relationship Id="rId5" Type="http://schemas.openxmlformats.org/officeDocument/2006/relationships/hyperlink" Target="#'H-9 Lighting Comfort'!A129:M169"/><Relationship Id="rId15" Type="http://schemas.openxmlformats.org/officeDocument/2006/relationships/image" Target="../media/image97.png"/><Relationship Id="rId10" Type="http://schemas.openxmlformats.org/officeDocument/2006/relationships/image" Target="../media/image88.png"/><Relationship Id="rId4" Type="http://schemas.openxmlformats.org/officeDocument/2006/relationships/hyperlink" Target="#'H-9 Lighting Comfort'!A83:M128"/><Relationship Id="rId9" Type="http://schemas.openxmlformats.org/officeDocument/2006/relationships/image" Target="../media/image87.png"/><Relationship Id="rId14" Type="http://schemas.openxmlformats.org/officeDocument/2006/relationships/hyperlink" Target="#'H-9 Lighting Comfort'!A14:C22"/></Relationships>
</file>

<file path=xl/drawings/_rels/drawing41.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hyperlink" Target="#'H-10 Thermal Comfort'!A17:N130"/><Relationship Id="rId7" Type="http://schemas.openxmlformats.org/officeDocument/2006/relationships/image" Target="../media/image95.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image" Target="../media/image88.png"/><Relationship Id="rId5" Type="http://schemas.openxmlformats.org/officeDocument/2006/relationships/hyperlink" Target="#'H-10 Thermal Comfort'!A171:N217"/><Relationship Id="rId10" Type="http://schemas.openxmlformats.org/officeDocument/2006/relationships/hyperlink" Target="#Resources!A137:Q200"/><Relationship Id="rId4" Type="http://schemas.openxmlformats.org/officeDocument/2006/relationships/hyperlink" Target="#'H-10 Thermal Comfort'!A131:N170"/><Relationship Id="rId9" Type="http://schemas.openxmlformats.org/officeDocument/2006/relationships/hyperlink" Target="#'H-10 Thermal Comfort'!A9"/></Relationships>
</file>

<file path=xl/drawings/_rels/drawing42.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hyperlink" Target="#'H-11 Acoustic Comfort'!A17:M60"/><Relationship Id="rId7" Type="http://schemas.openxmlformats.org/officeDocument/2006/relationships/image" Target="../media/image88.png"/><Relationship Id="rId2" Type="http://schemas.openxmlformats.org/officeDocument/2006/relationships/hyperlink" Target="#'LOTUS Interiors Scorecard'!J2"/><Relationship Id="rId1" Type="http://schemas.openxmlformats.org/officeDocument/2006/relationships/hyperlink" Target="#'Health &amp; Comfort'!K2"/><Relationship Id="rId6" Type="http://schemas.openxmlformats.org/officeDocument/2006/relationships/image" Target="../media/image89.png"/><Relationship Id="rId5" Type="http://schemas.openxmlformats.org/officeDocument/2006/relationships/image" Target="../media/image95.png"/><Relationship Id="rId10" Type="http://schemas.openxmlformats.org/officeDocument/2006/relationships/hyperlink" Target="#Resources!A201:Q232"/><Relationship Id="rId4" Type="http://schemas.openxmlformats.org/officeDocument/2006/relationships/hyperlink" Target="#'H-11 Acoustic Comfort'!A61:M129"/><Relationship Id="rId9" Type="http://schemas.openxmlformats.org/officeDocument/2006/relationships/hyperlink" Target="#'H-11 Acoustic Comfort'!A9:K9"/></Relationships>
</file>

<file path=xl/drawings/_rels/drawing43.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Interiors Scorecard'!J2"/><Relationship Id="rId1" Type="http://schemas.openxmlformats.org/officeDocument/2006/relationships/hyperlink" Target="#'Health &amp; Comfort'!K2"/><Relationship Id="rId5" Type="http://schemas.openxmlformats.org/officeDocument/2006/relationships/hyperlink" Target="#'H-12 Post-occupancy Comfort'!A9:K9"/><Relationship Id="rId4" Type="http://schemas.openxmlformats.org/officeDocument/2006/relationships/image" Target="../media/image87.png"/></Relationships>
</file>

<file path=xl/drawings/_rels/drawing44.xml.rels><?xml version="1.0" encoding="UTF-8" standalone="yes"?>
<Relationships xmlns="http://schemas.openxmlformats.org/package/2006/relationships"><Relationship Id="rId2" Type="http://schemas.openxmlformats.org/officeDocument/2006/relationships/hyperlink" Target="#'LOTUS Interiors Scorecard'!J2"/><Relationship Id="rId1"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3" Type="http://schemas.openxmlformats.org/officeDocument/2006/relationships/image" Target="../media/image99.png"/><Relationship Id="rId7" Type="http://schemas.openxmlformats.org/officeDocument/2006/relationships/hyperlink" Target="#'LT-1 Base building '!A9"/><Relationship Id="rId2" Type="http://schemas.openxmlformats.org/officeDocument/2006/relationships/hyperlink" Target="#'LOTUS Interiors Scorecard'!J2"/><Relationship Id="rId1" Type="http://schemas.openxmlformats.org/officeDocument/2006/relationships/hyperlink" Target="#'Location &amp; Transportation'!K2"/><Relationship Id="rId6" Type="http://schemas.openxmlformats.org/officeDocument/2006/relationships/hyperlink" Target="#'LT-1 Base building '!A45:M85"/><Relationship Id="rId5" Type="http://schemas.openxmlformats.org/officeDocument/2006/relationships/hyperlink" Target="#'LT-1 Base building '!A18:M44"/><Relationship Id="rId4" Type="http://schemas.openxmlformats.org/officeDocument/2006/relationships/image" Target="../media/image100.png"/></Relationships>
</file>

<file path=xl/drawings/_rels/drawing46.xml.rels><?xml version="1.0" encoding="UTF-8" standalone="yes"?>
<Relationships xmlns="http://schemas.openxmlformats.org/package/2006/relationships"><Relationship Id="rId3" Type="http://schemas.openxmlformats.org/officeDocument/2006/relationships/hyperlink" Target="#'LT-2 Tenancy lease'!A17:M37"/><Relationship Id="rId7" Type="http://schemas.openxmlformats.org/officeDocument/2006/relationships/hyperlink" Target="#'LT-2 Tenancy lease'!A9"/><Relationship Id="rId2" Type="http://schemas.openxmlformats.org/officeDocument/2006/relationships/hyperlink" Target="#'LOTUS Interiors Scorecard'!J2"/><Relationship Id="rId1" Type="http://schemas.openxmlformats.org/officeDocument/2006/relationships/hyperlink" Target="#'Location &amp; Transportation'!K2"/><Relationship Id="rId6" Type="http://schemas.openxmlformats.org/officeDocument/2006/relationships/image" Target="../media/image100.png"/><Relationship Id="rId5" Type="http://schemas.openxmlformats.org/officeDocument/2006/relationships/image" Target="../media/image99.png"/><Relationship Id="rId4" Type="http://schemas.openxmlformats.org/officeDocument/2006/relationships/hyperlink" Target="#'LT-2 Tenancy lease'!A38:M68"/></Relationships>
</file>

<file path=xl/drawings/_rels/drawing47.xml.rels><?xml version="1.0" encoding="UTF-8" standalone="yes"?>
<Relationships xmlns="http://schemas.openxmlformats.org/package/2006/relationships"><Relationship Id="rId8" Type="http://schemas.openxmlformats.org/officeDocument/2006/relationships/hyperlink" Target="#'LT-3 Green Transportation '!A22:M44"/><Relationship Id="rId13" Type="http://schemas.openxmlformats.org/officeDocument/2006/relationships/hyperlink" Target="#'LT-3 Green Transportation '!A9"/><Relationship Id="rId3" Type="http://schemas.openxmlformats.org/officeDocument/2006/relationships/hyperlink" Target="#'LT-3 Green Transportation '!A47:M71"/><Relationship Id="rId7" Type="http://schemas.openxmlformats.org/officeDocument/2006/relationships/hyperlink" Target="#'LT-3 Green Transportation '!A159:M186"/><Relationship Id="rId12" Type="http://schemas.openxmlformats.org/officeDocument/2006/relationships/image" Target="../media/image102.png"/><Relationship Id="rId2" Type="http://schemas.openxmlformats.org/officeDocument/2006/relationships/hyperlink" Target="#'LOTUS Interiors Scorecard'!J2"/><Relationship Id="rId1" Type="http://schemas.openxmlformats.org/officeDocument/2006/relationships/hyperlink" Target="#'Location &amp; Transportation'!K2"/><Relationship Id="rId6" Type="http://schemas.openxmlformats.org/officeDocument/2006/relationships/hyperlink" Target="#'LT-3 Green Transportation '!A133:M158"/><Relationship Id="rId11" Type="http://schemas.openxmlformats.org/officeDocument/2006/relationships/image" Target="../media/image101.png"/><Relationship Id="rId5" Type="http://schemas.openxmlformats.org/officeDocument/2006/relationships/hyperlink" Target="#'LT-3 Green Transportation '!A101:M132"/><Relationship Id="rId10" Type="http://schemas.openxmlformats.org/officeDocument/2006/relationships/image" Target="../media/image100.png"/><Relationship Id="rId4" Type="http://schemas.openxmlformats.org/officeDocument/2006/relationships/hyperlink" Target="#'LT-3 Green Transportation '!A72:M100"/><Relationship Id="rId9" Type="http://schemas.openxmlformats.org/officeDocument/2006/relationships/image" Target="../media/image99.png"/><Relationship Id="rId14" Type="http://schemas.openxmlformats.org/officeDocument/2006/relationships/image" Target="../media/image10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hyperlink" Target="#'LOTUS Interiors Scorecard'!J2"/><Relationship Id="rId1" Type="http://schemas.openxmlformats.org/officeDocument/2006/relationships/hyperlink" Target="#'Location &amp; Transportation'!K2"/><Relationship Id="rId5" Type="http://schemas.openxmlformats.org/officeDocument/2006/relationships/hyperlink" Target="#'LT-4 Facilities and amenities '!A9"/><Relationship Id="rId4" Type="http://schemas.openxmlformats.org/officeDocument/2006/relationships/image" Target="../media/image100.png"/></Relationships>
</file>

<file path=xl/drawings/_rels/drawing49.xml.rels><?xml version="1.0" encoding="UTF-8" standalone="yes"?>
<Relationships xmlns="http://schemas.openxmlformats.org/package/2006/relationships"><Relationship Id="rId2" Type="http://schemas.openxmlformats.org/officeDocument/2006/relationships/hyperlink" Target="#'LOTUS Interiors Scorecard'!J2"/><Relationship Id="rId1" Type="http://schemas.openxmlformats.org/officeDocument/2006/relationships/image" Target="../media/image55.png"/></Relationships>
</file>

<file path=xl/drawings/_rels/drawing5.xml.rels><?xml version="1.0" encoding="UTF-8" standalone="yes"?>
<Relationships xmlns="http://schemas.openxmlformats.org/package/2006/relationships"><Relationship Id="rId3" Type="http://schemas.openxmlformats.org/officeDocument/2006/relationships/hyperlink" Target="#'Project information'!A1"/><Relationship Id="rId7"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Interiors Scorecard'!J2"/><Relationship Id="rId6" Type="http://schemas.openxmlformats.org/officeDocument/2006/relationships/image" Target="../media/image45.png"/><Relationship Id="rId5" Type="http://schemas.openxmlformats.org/officeDocument/2006/relationships/hyperlink" Target="#Resources!C8"/><Relationship Id="rId4" Type="http://schemas.openxmlformats.org/officeDocument/2006/relationships/hyperlink" Target="#'Graphical Results'!C8"/></Relationships>
</file>

<file path=xl/drawings/_rels/drawing50.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hyperlink" Target="#'LOTUS Interiors Scorecard'!J2"/><Relationship Id="rId1" Type="http://schemas.openxmlformats.org/officeDocument/2006/relationships/hyperlink" Target="#Management!K2"/><Relationship Id="rId5" Type="http://schemas.openxmlformats.org/officeDocument/2006/relationships/hyperlink" Target="#'Man-1 LOTUS AP'!A9"/><Relationship Id="rId4" Type="http://schemas.openxmlformats.org/officeDocument/2006/relationships/image" Target="../media/image105.png"/></Relationships>
</file>

<file path=xl/drawings/_rels/drawing51.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hyperlink" Target="#'Man-2 Construction Stage'!A18:L53"/><Relationship Id="rId7" Type="http://schemas.openxmlformats.org/officeDocument/2006/relationships/image" Target="../media/image105.png"/><Relationship Id="rId2" Type="http://schemas.openxmlformats.org/officeDocument/2006/relationships/hyperlink" Target="#'LOTUS Interiors Scorecard'!J2"/><Relationship Id="rId1" Type="http://schemas.openxmlformats.org/officeDocument/2006/relationships/hyperlink" Target="#Management!K2"/><Relationship Id="rId6" Type="http://schemas.openxmlformats.org/officeDocument/2006/relationships/hyperlink" Target="#'Man-2 Construction Stage'!A117:K157"/><Relationship Id="rId5" Type="http://schemas.openxmlformats.org/officeDocument/2006/relationships/hyperlink" Target="#'Man-2 Construction Stage'!A78:K116"/><Relationship Id="rId10" Type="http://schemas.openxmlformats.org/officeDocument/2006/relationships/image" Target="../media/image106.png"/><Relationship Id="rId4" Type="http://schemas.openxmlformats.org/officeDocument/2006/relationships/hyperlink" Target="#'Man-2 Construction Stage'!A54:K77"/><Relationship Id="rId9" Type="http://schemas.openxmlformats.org/officeDocument/2006/relationships/hyperlink" Target="#'Man-2 Construction Stage'!A9"/></Relationships>
</file>

<file path=xl/drawings/_rels/drawing52.xml.rels><?xml version="1.0" encoding="UTF-8" standalone="yes"?>
<Relationships xmlns="http://schemas.openxmlformats.org/package/2006/relationships"><Relationship Id="rId8" Type="http://schemas.openxmlformats.org/officeDocument/2006/relationships/hyperlink" Target="#'Man-3 Commissioning'!A9"/><Relationship Id="rId3" Type="http://schemas.openxmlformats.org/officeDocument/2006/relationships/image" Target="../media/image105.png"/><Relationship Id="rId7" Type="http://schemas.openxmlformats.org/officeDocument/2006/relationships/image" Target="../media/image104.png"/><Relationship Id="rId2" Type="http://schemas.openxmlformats.org/officeDocument/2006/relationships/hyperlink" Target="#'LOTUS Interiors Scorecard'!J2"/><Relationship Id="rId1" Type="http://schemas.openxmlformats.org/officeDocument/2006/relationships/hyperlink" Target="#Management!K2"/><Relationship Id="rId6" Type="http://schemas.openxmlformats.org/officeDocument/2006/relationships/image" Target="../media/image106.png"/><Relationship Id="rId5" Type="http://schemas.openxmlformats.org/officeDocument/2006/relationships/hyperlink" Target="#'Man-3 Commissioning'!A95:K124"/><Relationship Id="rId10" Type="http://schemas.openxmlformats.org/officeDocument/2006/relationships/image" Target="../media/image107.png"/><Relationship Id="rId4" Type="http://schemas.openxmlformats.org/officeDocument/2006/relationships/hyperlink" Target="#'Man-3 Commissioning'!A25:L94"/><Relationship Id="rId9" Type="http://schemas.openxmlformats.org/officeDocument/2006/relationships/hyperlink" Target="#'Man-3 Commissioning'!A16:A24"/></Relationships>
</file>

<file path=xl/drawings/_rels/drawing53.xml.rels><?xml version="1.0" encoding="UTF-8" standalone="yes"?>
<Relationships xmlns="http://schemas.openxmlformats.org/package/2006/relationships"><Relationship Id="rId3" Type="http://schemas.openxmlformats.org/officeDocument/2006/relationships/image" Target="../media/image105.png"/><Relationship Id="rId7" Type="http://schemas.openxmlformats.org/officeDocument/2006/relationships/hyperlink" Target="#'Man-4 Maintenance'!A9"/><Relationship Id="rId2" Type="http://schemas.openxmlformats.org/officeDocument/2006/relationships/hyperlink" Target="#'LOTUS Interiors Scorecard'!J2"/><Relationship Id="rId1" Type="http://schemas.openxmlformats.org/officeDocument/2006/relationships/hyperlink" Target="#Management!K2"/><Relationship Id="rId6" Type="http://schemas.openxmlformats.org/officeDocument/2006/relationships/image" Target="../media/image104.png"/><Relationship Id="rId5" Type="http://schemas.openxmlformats.org/officeDocument/2006/relationships/hyperlink" Target="#'Man-4 Maintenance'!A47:K78"/><Relationship Id="rId4" Type="http://schemas.openxmlformats.org/officeDocument/2006/relationships/hyperlink" Target="#'Man-4 Maintenance'!A16:K46"/></Relationships>
</file>

<file path=xl/drawings/_rels/drawing54.xml.rels><?xml version="1.0" encoding="UTF-8" standalone="yes"?>
<Relationships xmlns="http://schemas.openxmlformats.org/package/2006/relationships"><Relationship Id="rId8" Type="http://schemas.openxmlformats.org/officeDocument/2006/relationships/hyperlink" Target="#'Man-5 Green Awareness '!A9"/><Relationship Id="rId3" Type="http://schemas.openxmlformats.org/officeDocument/2006/relationships/image" Target="../media/image105.png"/><Relationship Id="rId7" Type="http://schemas.openxmlformats.org/officeDocument/2006/relationships/hyperlink" Target="#'Man-5 Green Awareness '!A91:K123"/><Relationship Id="rId2" Type="http://schemas.openxmlformats.org/officeDocument/2006/relationships/hyperlink" Target="#'LOTUS Interiors Scorecard'!J2"/><Relationship Id="rId1" Type="http://schemas.openxmlformats.org/officeDocument/2006/relationships/hyperlink" Target="#Management!K2"/><Relationship Id="rId6" Type="http://schemas.openxmlformats.org/officeDocument/2006/relationships/hyperlink" Target="#'Man-5 Green Awareness '!A55:K90"/><Relationship Id="rId5" Type="http://schemas.openxmlformats.org/officeDocument/2006/relationships/hyperlink" Target="#'Man-5 Green Awareness '!A17:L52"/><Relationship Id="rId4" Type="http://schemas.openxmlformats.org/officeDocument/2006/relationships/image" Target="../media/image10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LOTUS Interiors Scorecard'!J2"/></Relationships>
</file>

<file path=xl/drawings/_rels/drawing56.xml.rels><?xml version="1.0" encoding="UTF-8" standalone="yes"?>
<Relationships xmlns="http://schemas.openxmlformats.org/package/2006/relationships"><Relationship Id="rId3" Type="http://schemas.openxmlformats.org/officeDocument/2006/relationships/image" Target="../media/image108.png"/><Relationship Id="rId2" Type="http://schemas.openxmlformats.org/officeDocument/2006/relationships/hyperlink" Target="#'LOTUS Interiors Scorecard'!J2"/><Relationship Id="rId1" Type="http://schemas.openxmlformats.org/officeDocument/2006/relationships/hyperlink" Target="#Innovation!K2"/><Relationship Id="rId4" Type="http://schemas.openxmlformats.org/officeDocument/2006/relationships/hyperlink" Target="#'Inn-1 Exceptional Performance '!A9"/></Relationships>
</file>

<file path=xl/drawings/_rels/drawing57.xml.rels><?xml version="1.0" encoding="UTF-8" standalone="yes"?>
<Relationships xmlns="http://schemas.openxmlformats.org/package/2006/relationships"><Relationship Id="rId3" Type="http://schemas.openxmlformats.org/officeDocument/2006/relationships/image" Target="../media/image109.png"/><Relationship Id="rId2" Type="http://schemas.openxmlformats.org/officeDocument/2006/relationships/hyperlink" Target="#'LOTUS Interiors Scorecard'!J2"/><Relationship Id="rId1" Type="http://schemas.openxmlformats.org/officeDocument/2006/relationships/hyperlink" Target="#Innovation!K2"/><Relationship Id="rId4" Type="http://schemas.openxmlformats.org/officeDocument/2006/relationships/hyperlink" Target="#'Inn-2 Innovative Techniques'!A9"/></Relationships>
</file>

<file path=xl/drawings/_rels/drawing58.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Interiors Scorecard'!J2"/></Relationships>
</file>

<file path=xl/drawings/_rels/drawing59.xml.rels><?xml version="1.0" encoding="UTF-8" standalone="yes"?>
<Relationships xmlns="http://schemas.openxmlformats.org/package/2006/relationships"><Relationship Id="rId3" Type="http://schemas.openxmlformats.org/officeDocument/2006/relationships/hyperlink" Target="#Instructions!N4"/><Relationship Id="rId2" Type="http://schemas.openxmlformats.org/officeDocument/2006/relationships/hyperlink" Target="#'LOTUS Interiors Scorecard'!J2"/><Relationship Id="rId1" Type="http://schemas.openxmlformats.org/officeDocument/2006/relationships/hyperlink" Target="#'Prov. Certification checklist'!A1"/><Relationship Id="rId5" Type="http://schemas.openxmlformats.org/officeDocument/2006/relationships/hyperlink" Target="#'Full Certification checklist '!A1"/><Relationship Id="rId4" Type="http://schemas.openxmlformats.org/officeDocument/2006/relationships/hyperlink" Target="#Introduction!N3"/></Relationships>
</file>

<file path=xl/drawings/_rels/drawing6.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Interiors Scorecard'!J2"/><Relationship Id="rId4" Type="http://schemas.openxmlformats.org/officeDocument/2006/relationships/image" Target="../media/image46.png"/></Relationships>
</file>

<file path=xl/drawings/_rels/drawing60.xml.rels><?xml version="1.0" encoding="UTF-8" standalone="yes"?>
<Relationships xmlns="http://schemas.openxmlformats.org/package/2006/relationships"><Relationship Id="rId8" Type="http://schemas.openxmlformats.org/officeDocument/2006/relationships/hyperlink" Target="#Introduction!N3"/><Relationship Id="rId3" Type="http://schemas.openxmlformats.org/officeDocument/2006/relationships/hyperlink" Target="#'WP-1 Refrigerants'!B3"/><Relationship Id="rId7" Type="http://schemas.openxmlformats.org/officeDocument/2006/relationships/hyperlink" Target="#Instructions!N4"/><Relationship Id="rId12" Type="http://schemas.openxmlformats.org/officeDocument/2006/relationships/hyperlink" Target="#'H-10 Thermal Comfort'!B3"/><Relationship Id="rId2" Type="http://schemas.openxmlformats.org/officeDocument/2006/relationships/hyperlink" Target="#'H-7 Daylighting'!B3"/><Relationship Id="rId1" Type="http://schemas.openxmlformats.org/officeDocument/2006/relationships/image" Target="../media/image110.jpeg"/><Relationship Id="rId6" Type="http://schemas.openxmlformats.org/officeDocument/2006/relationships/hyperlink" Target="#'LOTUS Interiors Scorecard'!J2"/><Relationship Id="rId11" Type="http://schemas.openxmlformats.org/officeDocument/2006/relationships/hyperlink" Target="#'H-11 Acoustic Comfort'!B3"/><Relationship Id="rId5" Type="http://schemas.openxmlformats.org/officeDocument/2006/relationships/image" Target="../media/image112.emf"/><Relationship Id="rId10" Type="http://schemas.openxmlformats.org/officeDocument/2006/relationships/hyperlink" Target="#'H-9 Lighting Comfort'!B3"/><Relationship Id="rId4" Type="http://schemas.openxmlformats.org/officeDocument/2006/relationships/image" Target="../media/image111.emf"/><Relationship Id="rId9" Type="http://schemas.openxmlformats.org/officeDocument/2006/relationships/hyperlink" Target="#'W-PR-1 &amp; W-1 Efficient Fixtures'!B3"/></Relationships>
</file>

<file path=xl/drawings/_rels/drawing61.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Interiors Scorecard'!J2"/><Relationship Id="rId6" Type="http://schemas.openxmlformats.org/officeDocument/2006/relationships/hyperlink" Target="mailto:certification@vgbc.org.vn?subject=Feedback%20on%20the%20draft%20version%20of%20LOTUS%20Interiors%20Pilot%20" TargetMode="External"/><Relationship Id="rId5" Type="http://schemas.openxmlformats.org/officeDocument/2006/relationships/hyperlink" Target="#'E-1 Space cooling'!B3"/><Relationship Id="rId4" Type="http://schemas.openxmlformats.org/officeDocument/2006/relationships/hyperlink" Target="#Materials!K2"/></Relationships>
</file>

<file path=xl/drawings/_rels/drawing7.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Interiors Scorecard'!J2"/><Relationship Id="rId4" Type="http://schemas.openxmlformats.org/officeDocument/2006/relationships/image" Target="../media/image4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9.xml.rels><?xml version="1.0" encoding="UTF-8" standalone="yes"?>
<Relationships xmlns="http://schemas.openxmlformats.org/package/2006/relationships"><Relationship Id="rId3" Type="http://schemas.openxmlformats.org/officeDocument/2006/relationships/hyperlink" Target="#'LOTUS Interiors Scorecard'!J2"/><Relationship Id="rId2" Type="http://schemas.openxmlformats.org/officeDocument/2006/relationships/image" Target="../media/image46.png"/><Relationship Id="rId1" Type="http://schemas.openxmlformats.org/officeDocument/2006/relationships/hyperlink" Target="#Glossary!A42:Q60"/><Relationship Id="rId5" Type="http://schemas.openxmlformats.org/officeDocument/2006/relationships/hyperlink" Target="#Introduction!N3"/><Relationship Id="rId4" Type="http://schemas.openxmlformats.org/officeDocument/2006/relationships/hyperlink" Target="#Instructions!N4"/></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142874</xdr:rowOff>
    </xdr:from>
    <xdr:to>
      <xdr:col>13</xdr:col>
      <xdr:colOff>542924</xdr:colOff>
      <xdr:row>24</xdr:row>
      <xdr:rowOff>64255</xdr:rowOff>
    </xdr:to>
    <xdr:pic>
      <xdr:nvPicPr>
        <xdr:cNvPr id="10" name="Picture 9" descr="C:\Users\VGBC\Desktop\111114 Option 1a.png"/>
        <xdr:cNvPicPr>
          <a:picLocks noChangeAspect="1"/>
        </xdr:cNvPicPr>
      </xdr:nvPicPr>
      <xdr:blipFill rotWithShape="1">
        <a:blip xmlns:r="http://schemas.openxmlformats.org/officeDocument/2006/relationships" r:embed="rId1" cstate="print">
          <a:duotone>
            <a:prstClr val="black"/>
            <a:srgbClr val="FFAF00">
              <a:tint val="45000"/>
              <a:satMod val="400000"/>
            </a:srgbClr>
          </a:duotone>
          <a:extLst>
            <a:ext uri="{BEBA8EAE-BF5A-486C-A8C5-ECC9F3942E4B}">
              <a14:imgProps xmlns:a14="http://schemas.microsoft.com/office/drawing/2010/main">
                <a14:imgLayer r:embed="rId2">
                  <a14:imgEffect>
                    <a14:sharpenSoften amount="25000"/>
                  </a14:imgEffect>
                  <a14:imgEffect>
                    <a14:brightnessContrast bright="20000" contrast="20000"/>
                  </a14:imgEffect>
                </a14:imgLayer>
              </a14:imgProps>
            </a:ext>
            <a:ext uri="{28A0092B-C50C-407E-A947-70E740481C1C}">
              <a14:useLocalDpi xmlns:a14="http://schemas.microsoft.com/office/drawing/2010/main" val="0"/>
            </a:ext>
          </a:extLst>
        </a:blip>
        <a:srcRect l="7387" t="5591" r="1478" b="-1"/>
        <a:stretch/>
      </xdr:blipFill>
      <xdr:spPr bwMode="auto">
        <a:xfrm>
          <a:off x="0" y="2371724"/>
          <a:ext cx="8620124" cy="23216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419100</xdr:colOff>
      <xdr:row>0</xdr:row>
      <xdr:rowOff>0</xdr:rowOff>
    </xdr:from>
    <xdr:to>
      <xdr:col>14</xdr:col>
      <xdr:colOff>0</xdr:colOff>
      <xdr:row>5</xdr:row>
      <xdr:rowOff>55500</xdr:rowOff>
    </xdr:to>
    <xdr:pic>
      <xdr:nvPicPr>
        <xdr:cNvPr id="5" name="Picture 8" descr="VGBC_logo.jpg">
          <a:hlinkClick xmlns:r="http://schemas.openxmlformats.org/officeDocument/2006/relationships" r:id="rId3"/>
        </xdr:cNvPr>
        <xdr:cNvPicPr>
          <a:picLocks noChangeAspect="1"/>
        </xdr:cNvPicPr>
      </xdr:nvPicPr>
      <xdr:blipFill rotWithShape="1">
        <a:blip xmlns:r="http://schemas.openxmlformats.org/officeDocument/2006/relationships" r:embed="rId4" cstate="print"/>
        <a:srcRect t="7665" r="1430" b="20566"/>
        <a:stretch/>
      </xdr:blipFill>
      <xdr:spPr>
        <a:xfrm>
          <a:off x="7277100" y="0"/>
          <a:ext cx="1343025" cy="1008000"/>
        </a:xfrm>
        <a:prstGeom prst="rect">
          <a:avLst/>
        </a:prstGeom>
      </xdr:spPr>
    </xdr:pic>
    <xdr:clientData/>
  </xdr:twoCellAnchor>
  <xdr:twoCellAnchor>
    <xdr:from>
      <xdr:col>0</xdr:col>
      <xdr:colOff>95251</xdr:colOff>
      <xdr:row>26</xdr:row>
      <xdr:rowOff>38100</xdr:rowOff>
    </xdr:from>
    <xdr:to>
      <xdr:col>13</xdr:col>
      <xdr:colOff>457200</xdr:colOff>
      <xdr:row>26</xdr:row>
      <xdr:rowOff>847725</xdr:rowOff>
    </xdr:to>
    <xdr:sp macro="" textlink="">
      <xdr:nvSpPr>
        <xdr:cNvPr id="7" name="TextBox 6"/>
        <xdr:cNvSpPr txBox="1"/>
      </xdr:nvSpPr>
      <xdr:spPr>
        <a:xfrm>
          <a:off x="95251" y="4924425"/>
          <a:ext cx="8439149" cy="8096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u="none" strike="noStrike">
              <a:solidFill>
                <a:schemeClr val="dk1"/>
              </a:solidFill>
              <a:effectLst/>
              <a:latin typeface="+mn-lt"/>
              <a:ea typeface="+mn-ea"/>
              <a:cs typeface="+mn-cs"/>
            </a:rPr>
            <a:t>© Copyright Vietnam Green Building Council. 2018. </a:t>
          </a:r>
        </a:p>
        <a:p>
          <a:r>
            <a:rPr lang="en-US" sz="1100" b="0" i="1" u="none" strike="noStrike">
              <a:solidFill>
                <a:schemeClr val="dk1"/>
              </a:solidFill>
              <a:effectLst/>
              <a:latin typeface="+mn-lt"/>
              <a:ea typeface="+mn-ea"/>
              <a:cs typeface="+mn-cs"/>
            </a:rPr>
            <a:t>Whilst every care has been taken in preparing this document, the Vietnam Green Building Council cannot accept responsibility for any inaccuracies or for consequential loss incurred as a result of such inaccuracies arising through the use of the document. </a:t>
          </a:r>
          <a:br>
            <a:rPr lang="en-US" sz="1100" b="0" i="1" u="none" strike="noStrike">
              <a:solidFill>
                <a:schemeClr val="dk1"/>
              </a:solidFill>
              <a:effectLst/>
              <a:latin typeface="+mn-lt"/>
              <a:ea typeface="+mn-ea"/>
              <a:cs typeface="+mn-cs"/>
            </a:rPr>
          </a:br>
          <a:r>
            <a:rPr lang="en-US" sz="1100" b="0" i="1" u="none" strike="noStrike">
              <a:solidFill>
                <a:schemeClr val="dk1"/>
              </a:solidFill>
              <a:effectLst/>
              <a:latin typeface="+mn-lt"/>
              <a:ea typeface="+mn-ea"/>
              <a:cs typeface="+mn-cs"/>
            </a:rPr>
            <a:t>The Vietnam Green Building Council reserves the right to amend, alter, change or update this document in any way and without prior notice. </a:t>
          </a:r>
          <a:r>
            <a:rPr lang="en-US"/>
            <a:t> </a:t>
          </a:r>
          <a:endParaRPr lang="en-US" sz="1100"/>
        </a:p>
      </xdr:txBody>
    </xdr:sp>
    <xdr:clientData/>
  </xdr:twoCellAnchor>
  <xdr:twoCellAnchor>
    <xdr:from>
      <xdr:col>11</xdr:col>
      <xdr:colOff>228600</xdr:colOff>
      <xdr:row>16</xdr:row>
      <xdr:rowOff>123825</xdr:rowOff>
    </xdr:from>
    <xdr:to>
      <xdr:col>13</xdr:col>
      <xdr:colOff>485400</xdr:colOff>
      <xdr:row>18</xdr:row>
      <xdr:rowOff>102825</xdr:rowOff>
    </xdr:to>
    <xdr:sp macro="" textlink="">
      <xdr:nvSpPr>
        <xdr:cNvPr id="8" name="Rectangle à coins arrondis 2">
          <a:hlinkClick xmlns:r="http://schemas.openxmlformats.org/officeDocument/2006/relationships" r:id="rId5" tooltip="Introduction"/>
        </xdr:cNvPr>
        <xdr:cNvSpPr>
          <a:spLocks noChangeArrowheads="1"/>
        </xdr:cNvSpPr>
      </xdr:nvSpPr>
      <xdr:spPr bwMode="auto">
        <a:xfrm>
          <a:off x="7086600" y="3228975"/>
          <a:ext cx="1476000" cy="360000"/>
        </a:xfrm>
        <a:prstGeom prst="roundRect">
          <a:avLst>
            <a:gd name="adj" fmla="val 16667"/>
          </a:avLst>
        </a:prstGeom>
        <a:solidFill>
          <a:srgbClr val="FFAF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Introduction</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495299</xdr:colOff>
      <xdr:row>14</xdr:row>
      <xdr:rowOff>209553</xdr:rowOff>
    </xdr:from>
    <xdr:to>
      <xdr:col>12</xdr:col>
      <xdr:colOff>523874</xdr:colOff>
      <xdr:row>16</xdr:row>
      <xdr:rowOff>61914</xdr:rowOff>
    </xdr:to>
    <xdr:sp macro="" textlink="">
      <xdr:nvSpPr>
        <xdr:cNvPr id="6" name="Bent Arrow 5"/>
        <xdr:cNvSpPr/>
      </xdr:nvSpPr>
      <xdr:spPr>
        <a:xfrm rot="5400000">
          <a:off x="7112794" y="2374108"/>
          <a:ext cx="509586" cy="1247775"/>
        </a:xfrm>
        <a:prstGeom prst="bentArrow">
          <a:avLst>
            <a:gd name="adj1" fmla="val 39953"/>
            <a:gd name="adj2" fmla="val 31542"/>
            <a:gd name="adj3" fmla="val 36215"/>
            <a:gd name="adj4" fmla="val 26927"/>
          </a:avLst>
        </a:prstGeom>
        <a:solidFill>
          <a:srgbClr val="FFAF00"/>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0</xdr:col>
      <xdr:colOff>0</xdr:colOff>
      <xdr:row>6</xdr:row>
      <xdr:rowOff>57150</xdr:rowOff>
    </xdr:from>
    <xdr:to>
      <xdr:col>14</xdr:col>
      <xdr:colOff>0</xdr:colOff>
      <xdr:row>12</xdr:row>
      <xdr:rowOff>102150</xdr:rowOff>
    </xdr:to>
    <xdr:pic>
      <xdr:nvPicPr>
        <xdr:cNvPr id="4" name="Picture 3"/>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061" b="10433"/>
        <a:stretch/>
      </xdr:blipFill>
      <xdr:spPr>
        <a:xfrm>
          <a:off x="0" y="1143000"/>
          <a:ext cx="8620125" cy="118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66675</xdr:colOff>
      <xdr:row>25</xdr:row>
      <xdr:rowOff>0</xdr:rowOff>
    </xdr:from>
    <xdr:to>
      <xdr:col>15</xdr:col>
      <xdr:colOff>495300</xdr:colOff>
      <xdr:row>28</xdr:row>
      <xdr:rowOff>19051</xdr:rowOff>
    </xdr:to>
    <xdr:sp macro="" textlink="">
      <xdr:nvSpPr>
        <xdr:cNvPr id="2" name="Rectangle à coins arrondis 2">
          <a:hlinkClick xmlns:r="http://schemas.openxmlformats.org/officeDocument/2006/relationships" r:id="rId1" tooltip="Resources"/>
        </xdr:cNvPr>
        <xdr:cNvSpPr>
          <a:spLocks noChangeArrowheads="1"/>
        </xdr:cNvSpPr>
      </xdr:nvSpPr>
      <xdr:spPr bwMode="auto">
        <a:xfrm>
          <a:off x="7848600" y="5695950"/>
          <a:ext cx="1647825" cy="7048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0</xdr:col>
      <xdr:colOff>209550</xdr:colOff>
      <xdr:row>1</xdr:row>
      <xdr:rowOff>28575</xdr:rowOff>
    </xdr:from>
    <xdr:to>
      <xdr:col>1</xdr:col>
      <xdr:colOff>224550</xdr:colOff>
      <xdr:row>2</xdr:row>
      <xdr:rowOff>195975</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409575"/>
          <a:ext cx="396000" cy="396000"/>
        </a:xfrm>
        <a:prstGeom prst="rect">
          <a:avLst/>
        </a:prstGeom>
      </xdr:spPr>
    </xdr:pic>
    <xdr:clientData/>
  </xdr:twoCellAnchor>
  <xdr:twoCellAnchor>
    <xdr:from>
      <xdr:col>13</xdr:col>
      <xdr:colOff>476251</xdr:colOff>
      <xdr:row>0</xdr:row>
      <xdr:rowOff>38100</xdr:rowOff>
    </xdr:from>
    <xdr:to>
      <xdr:col>15</xdr:col>
      <xdr:colOff>517051</xdr:colOff>
      <xdr:row>0</xdr:row>
      <xdr:rowOff>326100</xdr:rowOff>
    </xdr:to>
    <xdr:sp macro="" textlink="">
      <xdr:nvSpPr>
        <xdr:cNvPr id="8" name="Rectangle à coins arrondis 2">
          <a:hlinkClick xmlns:r="http://schemas.openxmlformats.org/officeDocument/2006/relationships" r:id="rId3" tooltip="Scorecard"/>
        </xdr:cNvPr>
        <xdr:cNvSpPr>
          <a:spLocks noChangeArrowheads="1"/>
        </xdr:cNvSpPr>
      </xdr:nvSpPr>
      <xdr:spPr bwMode="auto">
        <a:xfrm>
          <a:off x="84486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11</xdr:col>
      <xdr:colOff>310624</xdr:colOff>
      <xdr:row>0</xdr:row>
      <xdr:rowOff>38100</xdr:rowOff>
    </xdr:from>
    <xdr:to>
      <xdr:col>13</xdr:col>
      <xdr:colOff>351424</xdr:colOff>
      <xdr:row>0</xdr:row>
      <xdr:rowOff>326100</xdr:rowOff>
    </xdr:to>
    <xdr:sp macro="" textlink="">
      <xdr:nvSpPr>
        <xdr:cNvPr id="9" name="Rectangle à coins arrondis 2">
          <a:hlinkClick xmlns:r="http://schemas.openxmlformats.org/officeDocument/2006/relationships" r:id="rId4" tooltip="Instructions"/>
        </xdr:cNvPr>
        <xdr:cNvSpPr>
          <a:spLocks noChangeArrowheads="1"/>
        </xdr:cNvSpPr>
      </xdr:nvSpPr>
      <xdr:spPr bwMode="auto">
        <a:xfrm>
          <a:off x="7063849"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9</xdr:col>
      <xdr:colOff>342900</xdr:colOff>
      <xdr:row>0</xdr:row>
      <xdr:rowOff>38100</xdr:rowOff>
    </xdr:from>
    <xdr:to>
      <xdr:col>11</xdr:col>
      <xdr:colOff>183675</xdr:colOff>
      <xdr:row>0</xdr:row>
      <xdr:rowOff>326100</xdr:rowOff>
    </xdr:to>
    <xdr:sp macro="" textlink="">
      <xdr:nvSpPr>
        <xdr:cNvPr id="10" name="Rectangle à coins arrondis 2">
          <a:hlinkClick xmlns:r="http://schemas.openxmlformats.org/officeDocument/2006/relationships" r:id="rId5" tooltip="Introduction"/>
        </xdr:cNvPr>
        <xdr:cNvSpPr>
          <a:spLocks noChangeArrowheads="1"/>
        </xdr:cNvSpPr>
      </xdr:nvSpPr>
      <xdr:spPr bwMode="auto">
        <a:xfrm>
          <a:off x="567690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139701</xdr:colOff>
      <xdr:row>0</xdr:row>
      <xdr:rowOff>60323</xdr:rowOff>
    </xdr:from>
    <xdr:to>
      <xdr:col>11</xdr:col>
      <xdr:colOff>685326</xdr:colOff>
      <xdr:row>2</xdr:row>
      <xdr:rowOff>81623</xdr:rowOff>
    </xdr:to>
    <xdr:sp macro="" textlink="">
      <xdr:nvSpPr>
        <xdr:cNvPr id="11" name="Rectangle à coins arrondis 2">
          <a:hlinkClick xmlns:r="http://schemas.openxmlformats.org/officeDocument/2006/relationships" r:id="rId1" tooltip="Instructions"/>
        </xdr:cNvPr>
        <xdr:cNvSpPr>
          <a:spLocks noChangeArrowheads="1"/>
        </xdr:cNvSpPr>
      </xdr:nvSpPr>
      <xdr:spPr bwMode="auto">
        <a:xfrm>
          <a:off x="6502401" y="60323"/>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8</xdr:col>
      <xdr:colOff>482067</xdr:colOff>
      <xdr:row>0</xdr:row>
      <xdr:rowOff>60323</xdr:rowOff>
    </xdr:from>
    <xdr:to>
      <xdr:col>10</xdr:col>
      <xdr:colOff>18042</xdr:colOff>
      <xdr:row>2</xdr:row>
      <xdr:rowOff>81623</xdr:rowOff>
    </xdr:to>
    <xdr:sp macro="" textlink="">
      <xdr:nvSpPr>
        <xdr:cNvPr id="14" name="Rectangle à coins arrondis 2">
          <a:hlinkClick xmlns:r="http://schemas.openxmlformats.org/officeDocument/2006/relationships" r:id="rId2" tooltip="Introduction"/>
        </xdr:cNvPr>
        <xdr:cNvSpPr>
          <a:spLocks noChangeArrowheads="1"/>
        </xdr:cNvSpPr>
      </xdr:nvSpPr>
      <xdr:spPr bwMode="auto">
        <a:xfrm>
          <a:off x="5120742" y="60323"/>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twoCellAnchor editAs="oneCell">
    <xdr:from>
      <xdr:col>20</xdr:col>
      <xdr:colOff>322370</xdr:colOff>
      <xdr:row>3</xdr:row>
      <xdr:rowOff>11395</xdr:rowOff>
    </xdr:from>
    <xdr:to>
      <xdr:col>22</xdr:col>
      <xdr:colOff>313345</xdr:colOff>
      <xdr:row>6</xdr:row>
      <xdr:rowOff>22345</xdr:rowOff>
    </xdr:to>
    <xdr:pic>
      <xdr:nvPicPr>
        <xdr:cNvPr id="15" name="Picture 8" descr="VGBC_logo.jpg">
          <a:hlinkClick xmlns:r="http://schemas.openxmlformats.org/officeDocument/2006/relationships" r:id="rId3"/>
        </xdr:cNvPr>
        <xdr:cNvPicPr>
          <a:picLocks noChangeAspect="1"/>
        </xdr:cNvPicPr>
      </xdr:nvPicPr>
      <xdr:blipFill rotWithShape="1">
        <a:blip xmlns:r="http://schemas.openxmlformats.org/officeDocument/2006/relationships" r:embed="rId4" cstate="print"/>
        <a:srcRect l="3504" t="7124" r="1892" b="19137"/>
        <a:stretch/>
      </xdr:blipFill>
      <xdr:spPr>
        <a:xfrm>
          <a:off x="12857270" y="411445"/>
          <a:ext cx="1010150" cy="792000"/>
        </a:xfrm>
        <a:prstGeom prst="rect">
          <a:avLst/>
        </a:prstGeom>
      </xdr:spPr>
    </xdr:pic>
    <xdr:clientData/>
  </xdr:twoCellAnchor>
  <xdr:twoCellAnchor>
    <xdr:from>
      <xdr:col>16</xdr:col>
      <xdr:colOff>137583</xdr:colOff>
      <xdr:row>33</xdr:row>
      <xdr:rowOff>98425</xdr:rowOff>
    </xdr:from>
    <xdr:to>
      <xdr:col>18</xdr:col>
      <xdr:colOff>613833</xdr:colOff>
      <xdr:row>35</xdr:row>
      <xdr:rowOff>193674</xdr:rowOff>
    </xdr:to>
    <xdr:sp macro="" textlink="">
      <xdr:nvSpPr>
        <xdr:cNvPr id="16" name="Rectangle à coins arrondis 2">
          <a:hlinkClick xmlns:r="http://schemas.openxmlformats.org/officeDocument/2006/relationships" r:id="rId5" tooltip="Graphical Results "/>
        </xdr:cNvPr>
        <xdr:cNvSpPr>
          <a:spLocks noChangeArrowheads="1"/>
        </xdr:cNvSpPr>
      </xdr:nvSpPr>
      <xdr:spPr bwMode="auto">
        <a:xfrm>
          <a:off x="10481733" y="6699250"/>
          <a:ext cx="1619250" cy="457199"/>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FFAF00"/>
              </a:solidFill>
              <a:latin typeface="Arial" panose="020B0604020202020204" pitchFamily="34" charset="0"/>
              <a:cs typeface="Arial" panose="020B0604020202020204" pitchFamily="34" charset="0"/>
            </a:rPr>
            <a:t>Graphical Results</a:t>
          </a:r>
        </a:p>
      </xdr:txBody>
    </xdr:sp>
    <xdr:clientData/>
  </xdr:twoCellAnchor>
  <xdr:twoCellAnchor>
    <xdr:from>
      <xdr:col>13</xdr:col>
      <xdr:colOff>142432</xdr:colOff>
      <xdr:row>3</xdr:row>
      <xdr:rowOff>115917</xdr:rowOff>
    </xdr:from>
    <xdr:to>
      <xdr:col>21</xdr:col>
      <xdr:colOff>161552</xdr:colOff>
      <xdr:row>28</xdr:row>
      <xdr:rowOff>106231</xdr:rowOff>
    </xdr:to>
    <xdr:grpSp>
      <xdr:nvGrpSpPr>
        <xdr:cNvPr id="26" name="Group 25"/>
        <xdr:cNvGrpSpPr/>
      </xdr:nvGrpSpPr>
      <xdr:grpSpPr>
        <a:xfrm>
          <a:off x="8281015" y="528667"/>
          <a:ext cx="5141454" cy="5112647"/>
          <a:chOff x="8248207" y="515967"/>
          <a:chExt cx="5143570" cy="5114764"/>
        </a:xfrm>
      </xdr:grpSpPr>
      <xdr:grpSp>
        <xdr:nvGrpSpPr>
          <xdr:cNvPr id="3" name="Group 2"/>
          <xdr:cNvGrpSpPr/>
        </xdr:nvGrpSpPr>
        <xdr:grpSpPr>
          <a:xfrm>
            <a:off x="8248207" y="515967"/>
            <a:ext cx="5143570" cy="5114764"/>
            <a:chOff x="8248207" y="515967"/>
            <a:chExt cx="5143570" cy="5114764"/>
          </a:xfrm>
        </xdr:grpSpPr>
        <xdr:sp macro="" textlink="">
          <xdr:nvSpPr>
            <xdr:cNvPr id="12" name="Freeform 11"/>
            <xdr:cNvSpPr/>
          </xdr:nvSpPr>
          <xdr:spPr>
            <a:xfrm>
              <a:off x="9586867" y="1841498"/>
              <a:ext cx="2473896" cy="2463702"/>
            </a:xfrm>
            <a:custGeom>
              <a:avLst/>
              <a:gdLst>
                <a:gd name="connsiteX0" fmla="*/ 0 w 2472878"/>
                <a:gd name="connsiteY0" fmla="*/ 1236439 h 2472878"/>
                <a:gd name="connsiteX1" fmla="*/ 1236439 w 2472878"/>
                <a:gd name="connsiteY1" fmla="*/ 0 h 2472878"/>
                <a:gd name="connsiteX2" fmla="*/ 2472878 w 2472878"/>
                <a:gd name="connsiteY2" fmla="*/ 1236439 h 2472878"/>
                <a:gd name="connsiteX3" fmla="*/ 1236439 w 2472878"/>
                <a:gd name="connsiteY3" fmla="*/ 2472878 h 2472878"/>
                <a:gd name="connsiteX4" fmla="*/ 0 w 2472878"/>
                <a:gd name="connsiteY4" fmla="*/ 1236439 h 24728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2878" h="2472878">
                  <a:moveTo>
                    <a:pt x="0" y="1236439"/>
                  </a:moveTo>
                  <a:cubicBezTo>
                    <a:pt x="0" y="553573"/>
                    <a:pt x="553573" y="0"/>
                    <a:pt x="1236439" y="0"/>
                  </a:cubicBezTo>
                  <a:cubicBezTo>
                    <a:pt x="1919305" y="0"/>
                    <a:pt x="2472878" y="553573"/>
                    <a:pt x="2472878" y="1236439"/>
                  </a:cubicBezTo>
                  <a:cubicBezTo>
                    <a:pt x="2472878" y="1919305"/>
                    <a:pt x="1919305" y="2472878"/>
                    <a:pt x="1236439" y="2472878"/>
                  </a:cubicBezTo>
                  <a:cubicBezTo>
                    <a:pt x="553573" y="2472878"/>
                    <a:pt x="0" y="1919305"/>
                    <a:pt x="0" y="1236439"/>
                  </a:cubicBezTo>
                  <a:close/>
                </a:path>
              </a:pathLst>
            </a:custGeom>
            <a:solidFill>
              <a:srgbClr val="FFAF00">
                <a:alpha val="50000"/>
              </a:srgbClr>
            </a:solidFill>
            <a:ln>
              <a:noFill/>
            </a:ln>
            <a:effectLst/>
          </xdr:spPr>
          <xdr:style>
            <a:lnRef idx="2">
              <a:scrgbClr r="0" g="0" b="0"/>
            </a:lnRef>
            <a:fillRef idx="1">
              <a:scrgbClr r="0" g="0" b="0"/>
            </a:fillRef>
            <a:effectRef idx="0">
              <a:scrgbClr r="0" g="0" b="0"/>
            </a:effectRef>
            <a:fontRef idx="minor">
              <a:schemeClr val="tx1"/>
            </a:fontRef>
          </xdr:style>
          <xdr:txBody>
            <a:bodyPr spcFirstLastPara="0" vert="horz" wrap="square" lIns="360000" tIns="410405" rIns="360000" bIns="410405" numCol="1" spcCol="1270" anchor="ctr" anchorCtr="0">
              <a:noAutofit/>
            </a:bodyPr>
            <a:lstStyle/>
            <a:p>
              <a:pPr lvl="0" algn="ctr" defTabSz="1689100">
                <a:lnSpc>
                  <a:spcPct val="90000"/>
                </a:lnSpc>
                <a:spcBef>
                  <a:spcPct val="0"/>
                </a:spcBef>
                <a:spcAft>
                  <a:spcPts val="0"/>
                </a:spcAft>
              </a:pPr>
              <a:r>
                <a:rPr lang="en-US" sz="4000" kern="1200">
                  <a:solidFill>
                    <a:schemeClr val="bg1"/>
                  </a:solidFill>
                  <a:latin typeface="+mn-lt"/>
                </a:rPr>
                <a:t>LOTUS Interiors</a:t>
              </a:r>
            </a:p>
          </xdr:txBody>
        </xdr:sp>
        <xdr:sp macro="" textlink="">
          <xdr:nvSpPr>
            <xdr:cNvPr id="13" name="Freeform 12"/>
            <xdr:cNvSpPr/>
          </xdr:nvSpPr>
          <xdr:spPr>
            <a:xfrm>
              <a:off x="10116989" y="515967"/>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58AB27">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25989" tIns="225989" rIns="225989" bIns="225989" numCol="1" spcCol="1270" anchor="ctr" anchorCtr="0">
              <a:noAutofit/>
            </a:bodyPr>
            <a:lstStyle/>
            <a:p>
              <a:pPr lvl="0" algn="ctr" defTabSz="666750">
                <a:lnSpc>
                  <a:spcPct val="90000"/>
                </a:lnSpc>
                <a:spcBef>
                  <a:spcPct val="0"/>
                </a:spcBef>
                <a:spcAft>
                  <a:spcPct val="35000"/>
                </a:spcAft>
              </a:pPr>
              <a:endParaRPr lang="en-US" sz="1500" kern="1200"/>
            </a:p>
          </xdr:txBody>
        </xdr:sp>
        <xdr:sp macro="" textlink="">
          <xdr:nvSpPr>
            <xdr:cNvPr id="17" name="Freeform 16"/>
            <xdr:cNvSpPr/>
          </xdr:nvSpPr>
          <xdr:spPr>
            <a:xfrm>
              <a:off x="11433013" y="1058835"/>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0070C0">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29799" tIns="229799" rIns="229799" bIns="229799" numCol="1" spcCol="1270" anchor="ctr" anchorCtr="0">
              <a:noAutofit/>
            </a:bodyPr>
            <a:lstStyle/>
            <a:p>
              <a:pPr lvl="0" algn="ctr" defTabSz="800100">
                <a:lnSpc>
                  <a:spcPct val="90000"/>
                </a:lnSpc>
                <a:spcBef>
                  <a:spcPct val="0"/>
                </a:spcBef>
                <a:spcAft>
                  <a:spcPct val="35000"/>
                </a:spcAft>
              </a:pPr>
              <a:endParaRPr lang="en-US" sz="1800" kern="1200">
                <a:solidFill>
                  <a:schemeClr val="bg1"/>
                </a:solidFill>
              </a:endParaRPr>
            </a:p>
          </xdr:txBody>
        </xdr:sp>
        <xdr:sp macro="" textlink="">
          <xdr:nvSpPr>
            <xdr:cNvPr id="19" name="Freeform 18"/>
            <xdr:cNvSpPr/>
          </xdr:nvSpPr>
          <xdr:spPr>
            <a:xfrm>
              <a:off x="11978126" y="2369436"/>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5F4970">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83139" tIns="283139" rIns="283139" bIns="283139" numCol="1" spcCol="1270" anchor="ctr" anchorCtr="0">
              <a:noAutofit/>
            </a:bodyPr>
            <a:lstStyle/>
            <a:p>
              <a:pPr lvl="0" algn="ctr" defTabSz="2667000">
                <a:lnSpc>
                  <a:spcPct val="90000"/>
                </a:lnSpc>
                <a:spcBef>
                  <a:spcPct val="0"/>
                </a:spcBef>
                <a:spcAft>
                  <a:spcPct val="35000"/>
                </a:spcAft>
              </a:pPr>
              <a:endParaRPr lang="en-US" sz="6000" kern="1200">
                <a:solidFill>
                  <a:schemeClr val="bg1"/>
                </a:solidFill>
              </a:endParaRPr>
            </a:p>
          </xdr:txBody>
        </xdr:sp>
        <xdr:sp macro="" textlink="">
          <xdr:nvSpPr>
            <xdr:cNvPr id="20" name="Freeform 19"/>
            <xdr:cNvSpPr/>
          </xdr:nvSpPr>
          <xdr:spPr>
            <a:xfrm>
              <a:off x="11425366" y="3672423"/>
              <a:ext cx="1428939" cy="1423052"/>
            </a:xfrm>
            <a:custGeom>
              <a:avLst/>
              <a:gdLst>
                <a:gd name="connsiteX0" fmla="*/ 0 w 1428352"/>
                <a:gd name="connsiteY0" fmla="*/ 714176 h 1428352"/>
                <a:gd name="connsiteX1" fmla="*/ 714176 w 1428352"/>
                <a:gd name="connsiteY1" fmla="*/ 0 h 1428352"/>
                <a:gd name="connsiteX2" fmla="*/ 1428352 w 1428352"/>
                <a:gd name="connsiteY2" fmla="*/ 714176 h 1428352"/>
                <a:gd name="connsiteX3" fmla="*/ 714176 w 1428352"/>
                <a:gd name="connsiteY3" fmla="*/ 1428352 h 1428352"/>
                <a:gd name="connsiteX4" fmla="*/ 0 w 1428352"/>
                <a:gd name="connsiteY4" fmla="*/ 714176 h 142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8352" h="1428352">
                  <a:moveTo>
                    <a:pt x="0" y="714176"/>
                  </a:moveTo>
                  <a:cubicBezTo>
                    <a:pt x="0" y="319747"/>
                    <a:pt x="319747" y="0"/>
                    <a:pt x="714176" y="0"/>
                  </a:cubicBezTo>
                  <a:cubicBezTo>
                    <a:pt x="1108605" y="0"/>
                    <a:pt x="1428352" y="319747"/>
                    <a:pt x="1428352" y="714176"/>
                  </a:cubicBezTo>
                  <a:cubicBezTo>
                    <a:pt x="1428352" y="1108605"/>
                    <a:pt x="1108605" y="1428352"/>
                    <a:pt x="714176" y="1428352"/>
                  </a:cubicBezTo>
                  <a:cubicBezTo>
                    <a:pt x="319747" y="1428352"/>
                    <a:pt x="0" y="1108605"/>
                    <a:pt x="0" y="714176"/>
                  </a:cubicBezTo>
                  <a:close/>
                </a:path>
              </a:pathLst>
            </a:custGeom>
            <a:solidFill>
              <a:srgbClr val="4A442A">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86647" tIns="286647" rIns="286647" bIns="286647" numCol="1" spcCol="1270" anchor="ctr" anchorCtr="0">
              <a:noAutofit/>
            </a:bodyPr>
            <a:lstStyle/>
            <a:p>
              <a:pPr lvl="0" algn="ctr" defTabSz="2711450">
                <a:lnSpc>
                  <a:spcPct val="90000"/>
                </a:lnSpc>
                <a:spcBef>
                  <a:spcPct val="0"/>
                </a:spcBef>
                <a:spcAft>
                  <a:spcPct val="35000"/>
                </a:spcAft>
              </a:pPr>
              <a:endParaRPr lang="en-US" sz="6100" kern="1200"/>
            </a:p>
          </xdr:txBody>
        </xdr:sp>
        <xdr:sp macro="" textlink="">
          <xdr:nvSpPr>
            <xdr:cNvPr id="21" name="Freeform 20"/>
            <xdr:cNvSpPr/>
          </xdr:nvSpPr>
          <xdr:spPr>
            <a:xfrm>
              <a:off x="10116988" y="4222905"/>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943634">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83139" tIns="283139" rIns="283139" bIns="283139" numCol="1" spcCol="1270" anchor="ctr" anchorCtr="0">
              <a:noAutofit/>
            </a:bodyPr>
            <a:lstStyle/>
            <a:p>
              <a:pPr lvl="0" algn="ctr" defTabSz="2667000">
                <a:lnSpc>
                  <a:spcPct val="90000"/>
                </a:lnSpc>
                <a:spcBef>
                  <a:spcPct val="0"/>
                </a:spcBef>
                <a:spcAft>
                  <a:spcPct val="35000"/>
                </a:spcAft>
              </a:pPr>
              <a:endParaRPr lang="en-US" sz="6000" kern="1200">
                <a:solidFill>
                  <a:schemeClr val="bg1"/>
                </a:solidFill>
              </a:endParaRPr>
            </a:p>
          </xdr:txBody>
        </xdr:sp>
        <xdr:sp macro="" textlink="">
          <xdr:nvSpPr>
            <xdr:cNvPr id="22" name="Freeform 21"/>
            <xdr:cNvSpPr/>
          </xdr:nvSpPr>
          <xdr:spPr>
            <a:xfrm>
              <a:off x="8800965" y="3680037"/>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76923C">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83139" tIns="283139" rIns="283139" bIns="283139" numCol="1" spcCol="1270" anchor="ctr" anchorCtr="0">
              <a:noAutofit/>
            </a:bodyPr>
            <a:lstStyle/>
            <a:p>
              <a:pPr lvl="0" algn="ctr" defTabSz="2667000">
                <a:lnSpc>
                  <a:spcPct val="90000"/>
                </a:lnSpc>
                <a:spcBef>
                  <a:spcPct val="0"/>
                </a:spcBef>
                <a:spcAft>
                  <a:spcPct val="35000"/>
                </a:spcAft>
              </a:pPr>
              <a:endParaRPr lang="en-US" sz="6000" kern="1200">
                <a:solidFill>
                  <a:schemeClr val="bg1"/>
                </a:solidFill>
              </a:endParaRPr>
            </a:p>
          </xdr:txBody>
        </xdr:sp>
        <xdr:sp macro="" textlink="">
          <xdr:nvSpPr>
            <xdr:cNvPr id="23" name="Freeform 22"/>
            <xdr:cNvSpPr/>
          </xdr:nvSpPr>
          <xdr:spPr>
            <a:xfrm>
              <a:off x="8248207" y="2361824"/>
              <a:ext cx="1428940" cy="1423052"/>
            </a:xfrm>
            <a:custGeom>
              <a:avLst/>
              <a:gdLst>
                <a:gd name="connsiteX0" fmla="*/ 0 w 1428352"/>
                <a:gd name="connsiteY0" fmla="*/ 714176 h 1428352"/>
                <a:gd name="connsiteX1" fmla="*/ 714176 w 1428352"/>
                <a:gd name="connsiteY1" fmla="*/ 0 h 1428352"/>
                <a:gd name="connsiteX2" fmla="*/ 1428352 w 1428352"/>
                <a:gd name="connsiteY2" fmla="*/ 714176 h 1428352"/>
                <a:gd name="connsiteX3" fmla="*/ 714176 w 1428352"/>
                <a:gd name="connsiteY3" fmla="*/ 1428352 h 1428352"/>
                <a:gd name="connsiteX4" fmla="*/ 0 w 1428352"/>
                <a:gd name="connsiteY4" fmla="*/ 714176 h 142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8352" h="1428352">
                  <a:moveTo>
                    <a:pt x="0" y="714176"/>
                  </a:moveTo>
                  <a:cubicBezTo>
                    <a:pt x="0" y="319747"/>
                    <a:pt x="319747" y="0"/>
                    <a:pt x="714176" y="0"/>
                  </a:cubicBezTo>
                  <a:cubicBezTo>
                    <a:pt x="1108605" y="0"/>
                    <a:pt x="1428352" y="319747"/>
                    <a:pt x="1428352" y="714176"/>
                  </a:cubicBezTo>
                  <a:cubicBezTo>
                    <a:pt x="1428352" y="1108605"/>
                    <a:pt x="1108605" y="1428352"/>
                    <a:pt x="714176" y="1428352"/>
                  </a:cubicBezTo>
                  <a:cubicBezTo>
                    <a:pt x="319747" y="1428352"/>
                    <a:pt x="0" y="1108605"/>
                    <a:pt x="0" y="714176"/>
                  </a:cubicBezTo>
                  <a:close/>
                </a:path>
              </a:pathLst>
            </a:custGeom>
            <a:solidFill>
              <a:srgbClr val="984806">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29497" tIns="229497" rIns="229497" bIns="229497" numCol="1" spcCol="1270" anchor="ctr" anchorCtr="0">
              <a:noAutofit/>
            </a:bodyPr>
            <a:lstStyle/>
            <a:p>
              <a:pPr lvl="0" algn="ctr" defTabSz="711200">
                <a:lnSpc>
                  <a:spcPct val="90000"/>
                </a:lnSpc>
                <a:spcBef>
                  <a:spcPct val="0"/>
                </a:spcBef>
                <a:spcAft>
                  <a:spcPct val="35000"/>
                </a:spcAft>
              </a:pPr>
              <a:endParaRPr lang="en-US" sz="1600" kern="1200">
                <a:solidFill>
                  <a:schemeClr val="bg1"/>
                </a:solidFill>
              </a:endParaRPr>
            </a:p>
          </xdr:txBody>
        </xdr:sp>
        <xdr:sp macro="" textlink="">
          <xdr:nvSpPr>
            <xdr:cNvPr id="24" name="Freeform 23"/>
            <xdr:cNvSpPr/>
          </xdr:nvSpPr>
          <xdr:spPr>
            <a:xfrm>
              <a:off x="8800968" y="1058835"/>
              <a:ext cx="1413651" cy="1407826"/>
            </a:xfrm>
            <a:custGeom>
              <a:avLst/>
              <a:gdLst>
                <a:gd name="connsiteX0" fmla="*/ 0 w 1413069"/>
                <a:gd name="connsiteY0" fmla="*/ 706535 h 1413069"/>
                <a:gd name="connsiteX1" fmla="*/ 706535 w 1413069"/>
                <a:gd name="connsiteY1" fmla="*/ 0 h 1413069"/>
                <a:gd name="connsiteX2" fmla="*/ 1413070 w 1413069"/>
                <a:gd name="connsiteY2" fmla="*/ 706535 h 1413069"/>
                <a:gd name="connsiteX3" fmla="*/ 706535 w 1413069"/>
                <a:gd name="connsiteY3" fmla="*/ 1413070 h 1413069"/>
                <a:gd name="connsiteX4" fmla="*/ 0 w 1413069"/>
                <a:gd name="connsiteY4" fmla="*/ 706535 h 14130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3069" h="1413069">
                  <a:moveTo>
                    <a:pt x="0" y="706535"/>
                  </a:moveTo>
                  <a:cubicBezTo>
                    <a:pt x="0" y="316326"/>
                    <a:pt x="316326" y="0"/>
                    <a:pt x="706535" y="0"/>
                  </a:cubicBezTo>
                  <a:cubicBezTo>
                    <a:pt x="1096744" y="0"/>
                    <a:pt x="1413070" y="316326"/>
                    <a:pt x="1413070" y="706535"/>
                  </a:cubicBezTo>
                  <a:cubicBezTo>
                    <a:pt x="1413070" y="1096744"/>
                    <a:pt x="1096744" y="1413070"/>
                    <a:pt x="706535" y="1413070"/>
                  </a:cubicBezTo>
                  <a:cubicBezTo>
                    <a:pt x="316326" y="1413070"/>
                    <a:pt x="0" y="1096744"/>
                    <a:pt x="0" y="706535"/>
                  </a:cubicBezTo>
                  <a:close/>
                </a:path>
              </a:pathLst>
            </a:custGeom>
            <a:solidFill>
              <a:srgbClr val="FFC000">
                <a:alpha val="50000"/>
              </a:srgbClr>
            </a:solidFill>
          </xdr:spPr>
          <xdr:style>
            <a:lnRef idx="2">
              <a:schemeClr val="lt1">
                <a:hueOff val="0"/>
                <a:satOff val="0"/>
                <a:lumOff val="0"/>
                <a:alphaOff val="0"/>
              </a:schemeClr>
            </a:lnRef>
            <a:fillRef idx="1">
              <a:scrgbClr r="0" g="0" b="0"/>
            </a:fillRef>
            <a:effectRef idx="0">
              <a:schemeClr val="accent1">
                <a:alpha val="50000"/>
                <a:hueOff val="0"/>
                <a:satOff val="0"/>
                <a:lumOff val="0"/>
                <a:alphaOff val="0"/>
              </a:schemeClr>
            </a:effectRef>
            <a:fontRef idx="minor">
              <a:schemeClr val="tx1"/>
            </a:fontRef>
          </xdr:style>
          <xdr:txBody>
            <a:bodyPr spcFirstLastPara="0" vert="horz" wrap="square" lIns="227259" tIns="227259" rIns="227259" bIns="227259" numCol="1" spcCol="1270" anchor="ctr" anchorCtr="0">
              <a:noAutofit/>
            </a:bodyPr>
            <a:lstStyle/>
            <a:p>
              <a:pPr lvl="0" algn="ctr" defTabSz="711200">
                <a:lnSpc>
                  <a:spcPct val="90000"/>
                </a:lnSpc>
                <a:spcBef>
                  <a:spcPct val="0"/>
                </a:spcBef>
                <a:spcAft>
                  <a:spcPct val="35000"/>
                </a:spcAft>
              </a:pPr>
              <a:endParaRPr lang="en-US" sz="1600" kern="1200">
                <a:solidFill>
                  <a:schemeClr val="bg1"/>
                </a:solidFill>
              </a:endParaRPr>
            </a:p>
          </xdr:txBody>
        </xdr:sp>
      </xdr:grpSp>
      <xdr:pic>
        <xdr:nvPicPr>
          <xdr:cNvPr id="4" name="Image 4" descr="Energy.png">
            <a:hlinkClick xmlns:r="http://schemas.openxmlformats.org/officeDocument/2006/relationships" r:id="rId6" tooltip="Energy"/>
          </xdr:cNvPr>
          <xdr:cNvPicPr>
            <a:picLocks/>
          </xdr:cNvPicPr>
        </xdr:nvPicPr>
        <xdr:blipFill>
          <a:blip xmlns:r="http://schemas.openxmlformats.org/officeDocument/2006/relationships" r:embed="rId7" cstate="print"/>
          <a:srcRect/>
          <a:stretch>
            <a:fillRect/>
          </a:stretch>
        </xdr:blipFill>
        <xdr:spPr bwMode="auto">
          <a:xfrm>
            <a:off x="10406542" y="737558"/>
            <a:ext cx="828000" cy="936000"/>
          </a:xfrm>
          <a:prstGeom prst="rect">
            <a:avLst/>
          </a:prstGeom>
          <a:noFill/>
          <a:ln w="9525">
            <a:noFill/>
            <a:miter lim="800000"/>
            <a:headEnd/>
            <a:tailEnd/>
          </a:ln>
        </xdr:spPr>
      </xdr:pic>
      <xdr:pic>
        <xdr:nvPicPr>
          <xdr:cNvPr id="5" name="Image 2" descr="Water.png">
            <a:hlinkClick xmlns:r="http://schemas.openxmlformats.org/officeDocument/2006/relationships" r:id="rId8" tooltip="Water"/>
          </xdr:cNvPr>
          <xdr:cNvPicPr>
            <a:picLocks noChangeAspect="1"/>
          </xdr:cNvPicPr>
        </xdr:nvPicPr>
        <xdr:blipFill>
          <a:blip xmlns:r="http://schemas.openxmlformats.org/officeDocument/2006/relationships" r:embed="rId9" cstate="print"/>
          <a:srcRect/>
          <a:stretch>
            <a:fillRect/>
          </a:stretch>
        </xdr:blipFill>
        <xdr:spPr bwMode="auto">
          <a:xfrm>
            <a:off x="11742172" y="1306326"/>
            <a:ext cx="828000" cy="931326"/>
          </a:xfrm>
          <a:prstGeom prst="rect">
            <a:avLst/>
          </a:prstGeom>
          <a:noFill/>
          <a:ln w="9525">
            <a:noFill/>
            <a:miter lim="800000"/>
            <a:headEnd/>
            <a:tailEnd/>
          </a:ln>
        </xdr:spPr>
      </xdr:pic>
      <xdr:pic>
        <xdr:nvPicPr>
          <xdr:cNvPr id="6" name="Image 2" descr="Materials.png">
            <a:hlinkClick xmlns:r="http://schemas.openxmlformats.org/officeDocument/2006/relationships" r:id="rId10" tooltip="Materials"/>
          </xdr:cNvPr>
          <xdr:cNvPicPr>
            <a:picLocks/>
          </xdr:cNvPicPr>
        </xdr:nvPicPr>
        <xdr:blipFill>
          <a:blip xmlns:r="http://schemas.openxmlformats.org/officeDocument/2006/relationships" r:embed="rId11" cstate="print"/>
          <a:srcRect/>
          <a:stretch>
            <a:fillRect/>
          </a:stretch>
        </xdr:blipFill>
        <xdr:spPr bwMode="auto">
          <a:xfrm>
            <a:off x="12276998" y="2641423"/>
            <a:ext cx="826942" cy="932527"/>
          </a:xfrm>
          <a:prstGeom prst="rect">
            <a:avLst/>
          </a:prstGeom>
          <a:noFill/>
          <a:ln w="9525">
            <a:noFill/>
            <a:miter lim="800000"/>
            <a:headEnd/>
            <a:tailEnd/>
          </a:ln>
        </xdr:spPr>
      </xdr:pic>
      <xdr:pic>
        <xdr:nvPicPr>
          <xdr:cNvPr id="7" name="Image 2" descr="HC.png">
            <a:hlinkClick xmlns:r="http://schemas.openxmlformats.org/officeDocument/2006/relationships" r:id="rId12" tooltip="Health &amp; Comfort"/>
          </xdr:cNvPr>
          <xdr:cNvPicPr>
            <a:picLocks/>
          </xdr:cNvPicPr>
        </xdr:nvPicPr>
        <xdr:blipFill>
          <a:blip xmlns:r="http://schemas.openxmlformats.org/officeDocument/2006/relationships" r:embed="rId13" cstate="print"/>
          <a:srcRect/>
          <a:stretch>
            <a:fillRect/>
          </a:stretch>
        </xdr:blipFill>
        <xdr:spPr bwMode="auto">
          <a:xfrm>
            <a:off x="10413836" y="4476610"/>
            <a:ext cx="828000" cy="936000"/>
          </a:xfrm>
          <a:prstGeom prst="rect">
            <a:avLst/>
          </a:prstGeom>
          <a:noFill/>
          <a:ln w="9525">
            <a:noFill/>
            <a:miter lim="800000"/>
            <a:headEnd/>
            <a:tailEnd/>
          </a:ln>
        </xdr:spPr>
      </xdr:pic>
      <xdr:pic>
        <xdr:nvPicPr>
          <xdr:cNvPr id="8" name="Picture 7">
            <a:hlinkClick xmlns:r="http://schemas.openxmlformats.org/officeDocument/2006/relationships" r:id="rId14" tooltip="Location &amp; Transportation"/>
          </xdr:cNvPr>
          <xdr:cNvPicPr>
            <a:picLocks/>
          </xdr:cNvPicPr>
        </xdr:nvPicPr>
        <xdr:blipFill>
          <a:blip xmlns:r="http://schemas.openxmlformats.org/officeDocument/2006/relationships" r:embed="rId15" cstate="print"/>
          <a:stretch>
            <a:fillRect/>
          </a:stretch>
        </xdr:blipFill>
        <xdr:spPr>
          <a:xfrm>
            <a:off x="9098749" y="3941916"/>
            <a:ext cx="826942" cy="936000"/>
          </a:xfrm>
          <a:prstGeom prst="rect">
            <a:avLst/>
          </a:prstGeom>
        </xdr:spPr>
      </xdr:pic>
      <xdr:pic>
        <xdr:nvPicPr>
          <xdr:cNvPr id="9" name="Image 7" descr="management.png">
            <a:hlinkClick xmlns:r="http://schemas.openxmlformats.org/officeDocument/2006/relationships" r:id="rId16" tooltip="Management"/>
          </xdr:cNvPr>
          <xdr:cNvPicPr>
            <a:picLocks/>
          </xdr:cNvPicPr>
        </xdr:nvPicPr>
        <xdr:blipFill>
          <a:blip xmlns:r="http://schemas.openxmlformats.org/officeDocument/2006/relationships" r:embed="rId17" cstate="print"/>
          <a:srcRect/>
          <a:stretch>
            <a:fillRect/>
          </a:stretch>
        </xdr:blipFill>
        <xdr:spPr bwMode="auto">
          <a:xfrm>
            <a:off x="8550968" y="2619385"/>
            <a:ext cx="832234" cy="932527"/>
          </a:xfrm>
          <a:prstGeom prst="rect">
            <a:avLst/>
          </a:prstGeom>
          <a:noFill/>
          <a:ln w="9525">
            <a:noFill/>
            <a:miter lim="800000"/>
            <a:headEnd/>
            <a:tailEnd/>
          </a:ln>
        </xdr:spPr>
      </xdr:pic>
      <xdr:pic>
        <xdr:nvPicPr>
          <xdr:cNvPr id="10" name="Image 2" descr="Innovation.png">
            <a:hlinkClick xmlns:r="http://schemas.openxmlformats.org/officeDocument/2006/relationships" r:id="rId18" tooltip="Innovation"/>
          </xdr:cNvPr>
          <xdr:cNvPicPr>
            <a:picLocks/>
          </xdr:cNvPicPr>
        </xdr:nvPicPr>
        <xdr:blipFill>
          <a:blip xmlns:r="http://schemas.openxmlformats.org/officeDocument/2006/relationships" r:embed="rId19" cstate="print"/>
          <a:srcRect/>
          <a:stretch>
            <a:fillRect/>
          </a:stretch>
        </xdr:blipFill>
        <xdr:spPr bwMode="auto">
          <a:xfrm>
            <a:off x="9076313" y="1302089"/>
            <a:ext cx="830117" cy="936000"/>
          </a:xfrm>
          <a:prstGeom prst="rect">
            <a:avLst/>
          </a:prstGeom>
          <a:noFill/>
          <a:ln w="9525">
            <a:noFill/>
            <a:miter lim="800000"/>
            <a:headEnd/>
            <a:tailEnd/>
          </a:ln>
        </xdr:spPr>
      </xdr:pic>
      <xdr:pic>
        <xdr:nvPicPr>
          <xdr:cNvPr id="18" name="Image 2" descr="WP.png">
            <a:hlinkClick xmlns:r="http://schemas.openxmlformats.org/officeDocument/2006/relationships" r:id="rId20" tooltip="Waste &amp; Pollution"/>
          </xdr:cNvPr>
          <xdr:cNvPicPr>
            <a:picLocks/>
          </xdr:cNvPicPr>
        </xdr:nvPicPr>
        <xdr:blipFill>
          <a:blip xmlns:r="http://schemas.openxmlformats.org/officeDocument/2006/relationships" r:embed="rId21" cstate="print"/>
          <a:stretch>
            <a:fillRect/>
          </a:stretch>
        </xdr:blipFill>
        <xdr:spPr bwMode="auto">
          <a:xfrm>
            <a:off x="11729507" y="3943286"/>
            <a:ext cx="830117" cy="930418"/>
          </a:xfrm>
          <a:prstGeom prst="rect">
            <a:avLst/>
          </a:prstGeom>
          <a:noFill/>
          <a:ln w="9525">
            <a:noFill/>
            <a:miter lim="800000"/>
            <a:headEnd/>
            <a:tailEnd/>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142875</xdr:rowOff>
    </xdr:from>
    <xdr:to>
      <xdr:col>5</xdr:col>
      <xdr:colOff>323849</xdr:colOff>
      <xdr:row>20</xdr:row>
      <xdr:rowOff>21375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xdr:colOff>
      <xdr:row>5</xdr:row>
      <xdr:rowOff>171450</xdr:rowOff>
    </xdr:from>
    <xdr:to>
      <xdr:col>11</xdr:col>
      <xdr:colOff>381000</xdr:colOff>
      <xdr:row>20</xdr:row>
      <xdr:rowOff>121950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20</xdr:row>
      <xdr:rowOff>47624</xdr:rowOff>
    </xdr:from>
    <xdr:to>
      <xdr:col>6</xdr:col>
      <xdr:colOff>9525</xdr:colOff>
      <xdr:row>38</xdr:row>
      <xdr:rowOff>19049</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695325</xdr:colOff>
      <xdr:row>21</xdr:row>
      <xdr:rowOff>28574</xdr:rowOff>
    </xdr:from>
    <xdr:to>
      <xdr:col>11</xdr:col>
      <xdr:colOff>714374</xdr:colOff>
      <xdr:row>36</xdr:row>
      <xdr:rowOff>133349</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152401</xdr:colOff>
      <xdr:row>0</xdr:row>
      <xdr:rowOff>57150</xdr:rowOff>
    </xdr:from>
    <xdr:to>
      <xdr:col>11</xdr:col>
      <xdr:colOff>650401</xdr:colOff>
      <xdr:row>0</xdr:row>
      <xdr:rowOff>345150</xdr:rowOff>
    </xdr:to>
    <xdr:sp macro="" textlink="">
      <xdr:nvSpPr>
        <xdr:cNvPr id="9" name="Rectangle à coins arrondis 2">
          <a:hlinkClick xmlns:r="http://schemas.openxmlformats.org/officeDocument/2006/relationships" r:id="rId5" tooltip="Scorecard"/>
        </xdr:cNvPr>
        <xdr:cNvSpPr>
          <a:spLocks noChangeArrowheads="1"/>
        </xdr:cNvSpPr>
      </xdr:nvSpPr>
      <xdr:spPr bwMode="auto">
        <a:xfrm>
          <a:off x="7772401"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8</xdr:col>
      <xdr:colOff>262999</xdr:colOff>
      <xdr:row>0</xdr:row>
      <xdr:rowOff>57150</xdr:rowOff>
    </xdr:from>
    <xdr:to>
      <xdr:col>9</xdr:col>
      <xdr:colOff>760999</xdr:colOff>
      <xdr:row>0</xdr:row>
      <xdr:rowOff>345150</xdr:rowOff>
    </xdr:to>
    <xdr:sp macro="" textlink="">
      <xdr:nvSpPr>
        <xdr:cNvPr id="10" name="Rectangle à coins arrondis 2">
          <a:hlinkClick xmlns:r="http://schemas.openxmlformats.org/officeDocument/2006/relationships" r:id="rId6" tooltip="Instructions"/>
        </xdr:cNvPr>
        <xdr:cNvSpPr>
          <a:spLocks noChangeArrowheads="1"/>
        </xdr:cNvSpPr>
      </xdr:nvSpPr>
      <xdr:spPr bwMode="auto">
        <a:xfrm>
          <a:off x="6358999"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6</xdr:col>
      <xdr:colOff>390525</xdr:colOff>
      <xdr:row>0</xdr:row>
      <xdr:rowOff>57150</xdr:rowOff>
    </xdr:from>
    <xdr:to>
      <xdr:col>8</xdr:col>
      <xdr:colOff>126525</xdr:colOff>
      <xdr:row>0</xdr:row>
      <xdr:rowOff>345150</xdr:rowOff>
    </xdr:to>
    <xdr:sp macro="" textlink="">
      <xdr:nvSpPr>
        <xdr:cNvPr id="11" name="Rectangle à coins arrondis 2">
          <a:hlinkClick xmlns:r="http://schemas.openxmlformats.org/officeDocument/2006/relationships" r:id="rId7" tooltip="Introduction"/>
        </xdr:cNvPr>
        <xdr:cNvSpPr>
          <a:spLocks noChangeArrowheads="1"/>
        </xdr:cNvSpPr>
      </xdr:nvSpPr>
      <xdr:spPr bwMode="auto">
        <a:xfrm>
          <a:off x="4962525"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0.75371</cdr:x>
      <cdr:y>0.20329</cdr:y>
    </cdr:from>
    <cdr:to>
      <cdr:x>0.98387</cdr:x>
      <cdr:y>0.2835</cdr:y>
    </cdr:to>
    <cdr:sp macro="" textlink="">
      <cdr:nvSpPr>
        <cdr:cNvPr id="2" name="ZoneTexte 1"/>
        <cdr:cNvSpPr txBox="1"/>
      </cdr:nvSpPr>
      <cdr:spPr>
        <a:xfrm xmlns:a="http://schemas.openxmlformats.org/drawingml/2006/main">
          <a:off x="3115725" y="546412"/>
          <a:ext cx="951450" cy="215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Uncertified</a:t>
          </a:r>
        </a:p>
      </cdr:txBody>
    </cdr:sp>
  </cdr:relSizeAnchor>
  <cdr:relSizeAnchor xmlns:cdr="http://schemas.openxmlformats.org/drawingml/2006/chartDrawing">
    <cdr:from>
      <cdr:x>0.71205</cdr:x>
      <cdr:y>0.74638</cdr:y>
    </cdr:from>
    <cdr:to>
      <cdr:x>0.92455</cdr:x>
      <cdr:y>0.8193</cdr:y>
    </cdr:to>
    <cdr:sp macro="" textlink="">
      <cdr:nvSpPr>
        <cdr:cNvPr id="3" name="ZoneTexte 1"/>
        <cdr:cNvSpPr txBox="1"/>
      </cdr:nvSpPr>
      <cdr:spPr>
        <a:xfrm xmlns:a="http://schemas.openxmlformats.org/drawingml/2006/main">
          <a:off x="3119849" y="2006175"/>
          <a:ext cx="931069" cy="195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b="1">
              <a:solidFill>
                <a:srgbClr val="58B527"/>
              </a:solidFill>
            </a:rPr>
            <a:t>Certified</a:t>
          </a:r>
          <a:endParaRPr lang="fr-FR" sz="1100" b="1">
            <a:solidFill>
              <a:srgbClr val="58B527"/>
            </a:solidFill>
          </a:endParaRPr>
        </a:p>
      </cdr:txBody>
    </cdr:sp>
  </cdr:relSizeAnchor>
  <cdr:relSizeAnchor xmlns:cdr="http://schemas.openxmlformats.org/drawingml/2006/chartDrawing">
    <cdr:from>
      <cdr:x>0.5113</cdr:x>
      <cdr:y>0.91015</cdr:y>
    </cdr:from>
    <cdr:to>
      <cdr:x>0.7238</cdr:x>
      <cdr:y>0.98307</cdr:y>
    </cdr:to>
    <cdr:sp macro="" textlink="">
      <cdr:nvSpPr>
        <cdr:cNvPr id="4" name="ZoneTexte 1"/>
        <cdr:cNvSpPr txBox="1"/>
      </cdr:nvSpPr>
      <cdr:spPr>
        <a:xfrm xmlns:a="http://schemas.openxmlformats.org/drawingml/2006/main">
          <a:off x="2113623" y="2446365"/>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bg1">
                  <a:lumMod val="50000"/>
                </a:schemeClr>
              </a:solidFill>
            </a:rPr>
            <a:t>Silver</a:t>
          </a:r>
          <a:endParaRPr lang="fr-FR" sz="1100" b="1">
            <a:solidFill>
              <a:schemeClr val="bg1">
                <a:lumMod val="50000"/>
              </a:schemeClr>
            </a:solidFill>
          </a:endParaRPr>
        </a:p>
      </cdr:txBody>
    </cdr:sp>
  </cdr:relSizeAnchor>
  <cdr:relSizeAnchor xmlns:cdr="http://schemas.openxmlformats.org/drawingml/2006/chartDrawing">
    <cdr:from>
      <cdr:x>0.01818</cdr:x>
      <cdr:y>0.39236</cdr:y>
    </cdr:from>
    <cdr:to>
      <cdr:x>0.23068</cdr:x>
      <cdr:y>0.46528</cdr:y>
    </cdr:to>
    <cdr:sp macro="" textlink="">
      <cdr:nvSpPr>
        <cdr:cNvPr id="5" name="ZoneTexte 1"/>
        <cdr:cNvSpPr txBox="1"/>
      </cdr:nvSpPr>
      <cdr:spPr>
        <a:xfrm xmlns:a="http://schemas.openxmlformats.org/drawingml/2006/main">
          <a:off x="72902" y="1073497"/>
          <a:ext cx="852130" cy="1995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b="1">
              <a:solidFill>
                <a:schemeClr val="accent5">
                  <a:lumMod val="50000"/>
                </a:schemeClr>
              </a:solidFill>
            </a:rPr>
            <a:t>Platinum</a:t>
          </a:r>
          <a:endParaRPr lang="fr-FR" sz="1100" b="1">
            <a:solidFill>
              <a:schemeClr val="accent5">
                <a:lumMod val="50000"/>
              </a:schemeClr>
            </a:solidFill>
          </a:endParaRPr>
        </a:p>
      </cdr:txBody>
    </cdr:sp>
  </cdr:relSizeAnchor>
  <cdr:relSizeAnchor xmlns:cdr="http://schemas.openxmlformats.org/drawingml/2006/chartDrawing">
    <cdr:from>
      <cdr:x>0.21831</cdr:x>
      <cdr:y>0.89611</cdr:y>
    </cdr:from>
    <cdr:to>
      <cdr:x>0.43081</cdr:x>
      <cdr:y>0.96903</cdr:y>
    </cdr:to>
    <cdr:sp macro="" textlink="">
      <cdr:nvSpPr>
        <cdr:cNvPr id="6" name="ZoneTexte 1"/>
        <cdr:cNvSpPr txBox="1"/>
      </cdr:nvSpPr>
      <cdr:spPr>
        <a:xfrm xmlns:a="http://schemas.openxmlformats.org/drawingml/2006/main">
          <a:off x="902481" y="2408622"/>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a:solidFill>
                <a:srgbClr val="FFC000"/>
              </a:solidFill>
            </a:rPr>
            <a:t>Gold</a:t>
          </a:r>
          <a:endParaRPr lang="fr-FR" sz="1100" b="1">
            <a:solidFill>
              <a:srgbClr val="FFC000"/>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52913</xdr:colOff>
      <xdr:row>10</xdr:row>
      <xdr:rowOff>42332</xdr:rowOff>
    </xdr:from>
    <xdr:to>
      <xdr:col>1</xdr:col>
      <xdr:colOff>1969413</xdr:colOff>
      <xdr:row>12</xdr:row>
      <xdr:rowOff>57332</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370413" y="2899832"/>
          <a:ext cx="19165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117531</xdr:colOff>
      <xdr:row>0</xdr:row>
      <xdr:rowOff>74082</xdr:rowOff>
    </xdr:from>
    <xdr:to>
      <xdr:col>11</xdr:col>
      <xdr:colOff>148169</xdr:colOff>
      <xdr:row>2</xdr:row>
      <xdr:rowOff>179958</xdr:rowOff>
    </xdr:to>
    <xdr:pic>
      <xdr:nvPicPr>
        <xdr:cNvPr id="4" name="Image 4" descr="Energy.png"/>
        <xdr:cNvPicPr>
          <a:picLocks noChangeAspect="1"/>
        </xdr:cNvPicPr>
      </xdr:nvPicPr>
      <xdr:blipFill>
        <a:blip xmlns:r="http://schemas.openxmlformats.org/officeDocument/2006/relationships" r:embed="rId2" cstate="print"/>
        <a:srcRect/>
        <a:stretch>
          <a:fillRect/>
        </a:stretch>
      </xdr:blipFill>
      <xdr:spPr bwMode="auto">
        <a:xfrm>
          <a:off x="9769531" y="74082"/>
          <a:ext cx="887888" cy="89962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1000125</xdr:colOff>
      <xdr:row>1</xdr:row>
      <xdr:rowOff>142875</xdr:rowOff>
    </xdr:from>
    <xdr:to>
      <xdr:col>5</xdr:col>
      <xdr:colOff>905325</xdr:colOff>
      <xdr:row>3</xdr:row>
      <xdr:rowOff>49875</xdr:rowOff>
    </xdr:to>
    <xdr:sp macro="" textlink="">
      <xdr:nvSpPr>
        <xdr:cNvPr id="5" name="Rectangle à coins arrondis 2">
          <a:hlinkClick xmlns:r="http://schemas.openxmlformats.org/officeDocument/2006/relationships" r:id="rId1" tooltip="Strategy A"/>
        </xdr:cNvPr>
        <xdr:cNvSpPr>
          <a:spLocks noChangeArrowheads="1"/>
        </xdr:cNvSpPr>
      </xdr:nvSpPr>
      <xdr:spPr bwMode="auto">
        <a:xfrm>
          <a:off x="4914900" y="466725"/>
          <a:ext cx="97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990599</xdr:colOff>
      <xdr:row>1</xdr:row>
      <xdr:rowOff>142875</xdr:rowOff>
    </xdr:from>
    <xdr:to>
      <xdr:col>6</xdr:col>
      <xdr:colOff>933899</xdr:colOff>
      <xdr:row>3</xdr:row>
      <xdr:rowOff>49875</xdr:rowOff>
    </xdr:to>
    <xdr:sp macro="" textlink="">
      <xdr:nvSpPr>
        <xdr:cNvPr id="6" name="Rectangle à coins arrondis 2">
          <a:hlinkClick xmlns:r="http://schemas.openxmlformats.org/officeDocument/2006/relationships" r:id="rId2" tooltip="Strategy B"/>
        </xdr:cNvPr>
        <xdr:cNvSpPr>
          <a:spLocks noChangeArrowheads="1"/>
        </xdr:cNvSpPr>
      </xdr:nvSpPr>
      <xdr:spPr bwMode="auto">
        <a:xfrm>
          <a:off x="5972174" y="466725"/>
          <a:ext cx="97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0</xdr:col>
      <xdr:colOff>219075</xdr:colOff>
      <xdr:row>1</xdr:row>
      <xdr:rowOff>114301</xdr:rowOff>
    </xdr:from>
    <xdr:to>
      <xdr:col>2</xdr:col>
      <xdr:colOff>760800</xdr:colOff>
      <xdr:row>3</xdr:row>
      <xdr:rowOff>57301</xdr:rowOff>
    </xdr:to>
    <xdr:sp macro="" textlink="">
      <xdr:nvSpPr>
        <xdr:cNvPr id="8" name="Rectangle à coins arrondis 2">
          <a:hlinkClick xmlns:r="http://schemas.openxmlformats.org/officeDocument/2006/relationships" r:id="rId3" tooltip="Back to Energy"/>
        </xdr:cNvPr>
        <xdr:cNvSpPr>
          <a:spLocks noChangeArrowheads="1"/>
        </xdr:cNvSpPr>
      </xdr:nvSpPr>
      <xdr:spPr bwMode="auto">
        <a:xfrm>
          <a:off x="219075" y="438151"/>
          <a:ext cx="199905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1019175</xdr:colOff>
      <xdr:row>1</xdr:row>
      <xdr:rowOff>114300</xdr:rowOff>
    </xdr:from>
    <xdr:to>
      <xdr:col>4</xdr:col>
      <xdr:colOff>541725</xdr:colOff>
      <xdr:row>3</xdr:row>
      <xdr:rowOff>57300</xdr:rowOff>
    </xdr:to>
    <xdr:sp macro="" textlink="">
      <xdr:nvSpPr>
        <xdr:cNvPr id="9" name="Rectangle à coins arrondis 2">
          <a:hlinkClick xmlns:r="http://schemas.openxmlformats.org/officeDocument/2006/relationships" r:id="rId4" tooltip="See the Scorecard"/>
        </xdr:cNvPr>
        <xdr:cNvSpPr>
          <a:spLocks noChangeArrowheads="1"/>
        </xdr:cNvSpPr>
      </xdr:nvSpPr>
      <xdr:spPr bwMode="auto">
        <a:xfrm>
          <a:off x="247650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1019175</xdr:colOff>
      <xdr:row>1</xdr:row>
      <xdr:rowOff>142875</xdr:rowOff>
    </xdr:from>
    <xdr:to>
      <xdr:col>7</xdr:col>
      <xdr:colOff>771975</xdr:colOff>
      <xdr:row>3</xdr:row>
      <xdr:rowOff>49875</xdr:rowOff>
    </xdr:to>
    <xdr:sp macro="" textlink="">
      <xdr:nvSpPr>
        <xdr:cNvPr id="7" name="Rectangle à coins arrondis 2">
          <a:hlinkClick xmlns:r="http://schemas.openxmlformats.org/officeDocument/2006/relationships" r:id="rId5" tooltip="Strategy A"/>
        </xdr:cNvPr>
        <xdr:cNvSpPr>
          <a:spLocks noChangeArrowheads="1"/>
        </xdr:cNvSpPr>
      </xdr:nvSpPr>
      <xdr:spPr bwMode="auto">
        <a:xfrm>
          <a:off x="7029450" y="466725"/>
          <a:ext cx="97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7</xdr:col>
      <xdr:colOff>866774</xdr:colOff>
      <xdr:row>1</xdr:row>
      <xdr:rowOff>142875</xdr:rowOff>
    </xdr:from>
    <xdr:to>
      <xdr:col>8</xdr:col>
      <xdr:colOff>714824</xdr:colOff>
      <xdr:row>3</xdr:row>
      <xdr:rowOff>49875</xdr:rowOff>
    </xdr:to>
    <xdr:sp macro="" textlink="">
      <xdr:nvSpPr>
        <xdr:cNvPr id="10" name="Rectangle à coins arrondis 2">
          <a:hlinkClick xmlns:r="http://schemas.openxmlformats.org/officeDocument/2006/relationships" r:id="rId6" tooltip="Strategy D"/>
        </xdr:cNvPr>
        <xdr:cNvSpPr>
          <a:spLocks noChangeArrowheads="1"/>
        </xdr:cNvSpPr>
      </xdr:nvSpPr>
      <xdr:spPr bwMode="auto">
        <a:xfrm>
          <a:off x="8096249" y="466725"/>
          <a:ext cx="97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8</xdr:col>
      <xdr:colOff>809625</xdr:colOff>
      <xdr:row>1</xdr:row>
      <xdr:rowOff>142875</xdr:rowOff>
    </xdr:from>
    <xdr:to>
      <xdr:col>9</xdr:col>
      <xdr:colOff>600525</xdr:colOff>
      <xdr:row>3</xdr:row>
      <xdr:rowOff>49875</xdr:rowOff>
    </xdr:to>
    <xdr:sp macro="" textlink="">
      <xdr:nvSpPr>
        <xdr:cNvPr id="11" name="Rectangle à coins arrondis 2">
          <a:hlinkClick xmlns:r="http://schemas.openxmlformats.org/officeDocument/2006/relationships" r:id="rId7" tooltip="Strategy E"/>
        </xdr:cNvPr>
        <xdr:cNvSpPr>
          <a:spLocks noChangeArrowheads="1"/>
        </xdr:cNvSpPr>
      </xdr:nvSpPr>
      <xdr:spPr bwMode="auto">
        <a:xfrm>
          <a:off x="9163050" y="466725"/>
          <a:ext cx="97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123825</xdr:colOff>
      <xdr:row>81</xdr:row>
      <xdr:rowOff>171450</xdr:rowOff>
    </xdr:from>
    <xdr:to>
      <xdr:col>1</xdr:col>
      <xdr:colOff>483825</xdr:colOff>
      <xdr:row>83</xdr:row>
      <xdr:rowOff>74250</xdr:rowOff>
    </xdr:to>
    <xdr:pic>
      <xdr:nvPicPr>
        <xdr:cNvPr id="3" name="Picture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13382625"/>
          <a:ext cx="360000" cy="360000"/>
        </a:xfrm>
        <a:prstGeom prst="rect">
          <a:avLst/>
        </a:prstGeom>
      </xdr:spPr>
    </xdr:pic>
    <xdr:clientData/>
  </xdr:twoCellAnchor>
  <xdr:twoCellAnchor editAs="oneCell">
    <xdr:from>
      <xdr:col>1</xdr:col>
      <xdr:colOff>123825</xdr:colOff>
      <xdr:row>79</xdr:row>
      <xdr:rowOff>85725</xdr:rowOff>
    </xdr:from>
    <xdr:to>
      <xdr:col>1</xdr:col>
      <xdr:colOff>483825</xdr:colOff>
      <xdr:row>81</xdr:row>
      <xdr:rowOff>74250</xdr:rowOff>
    </xdr:to>
    <xdr:pic>
      <xdr:nvPicPr>
        <xdr:cNvPr id="14" name="Pictur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475" y="12925425"/>
          <a:ext cx="360000" cy="360000"/>
        </a:xfrm>
        <a:prstGeom prst="rect">
          <a:avLst/>
        </a:prstGeom>
      </xdr:spPr>
    </xdr:pic>
    <xdr:clientData/>
  </xdr:twoCellAnchor>
  <xdr:twoCellAnchor editAs="oneCell">
    <xdr:from>
      <xdr:col>1</xdr:col>
      <xdr:colOff>28575</xdr:colOff>
      <xdr:row>142</xdr:row>
      <xdr:rowOff>76200</xdr:rowOff>
    </xdr:from>
    <xdr:to>
      <xdr:col>1</xdr:col>
      <xdr:colOff>388575</xdr:colOff>
      <xdr:row>144</xdr:row>
      <xdr:rowOff>64725</xdr:rowOff>
    </xdr:to>
    <xdr:pic>
      <xdr:nvPicPr>
        <xdr:cNvPr id="15" name="Picture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225" y="26041350"/>
          <a:ext cx="360000" cy="360000"/>
        </a:xfrm>
        <a:prstGeom prst="rect">
          <a:avLst/>
        </a:prstGeom>
      </xdr:spPr>
    </xdr:pic>
    <xdr:clientData/>
  </xdr:twoCellAnchor>
  <xdr:twoCellAnchor editAs="oneCell">
    <xdr:from>
      <xdr:col>1</xdr:col>
      <xdr:colOff>38100</xdr:colOff>
      <xdr:row>192</xdr:row>
      <xdr:rowOff>38100</xdr:rowOff>
    </xdr:from>
    <xdr:to>
      <xdr:col>1</xdr:col>
      <xdr:colOff>398100</xdr:colOff>
      <xdr:row>194</xdr:row>
      <xdr:rowOff>74250</xdr:rowOff>
    </xdr:to>
    <xdr:pic>
      <xdr:nvPicPr>
        <xdr:cNvPr id="16" name="Picture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38442900"/>
          <a:ext cx="360000" cy="360000"/>
        </a:xfrm>
        <a:prstGeom prst="rect">
          <a:avLst/>
        </a:prstGeom>
      </xdr:spPr>
    </xdr:pic>
    <xdr:clientData/>
  </xdr:twoCellAnchor>
  <xdr:twoCellAnchor editAs="oneCell">
    <xdr:from>
      <xdr:col>1</xdr:col>
      <xdr:colOff>47625</xdr:colOff>
      <xdr:row>144</xdr:row>
      <xdr:rowOff>123825</xdr:rowOff>
    </xdr:from>
    <xdr:to>
      <xdr:col>1</xdr:col>
      <xdr:colOff>407625</xdr:colOff>
      <xdr:row>146</xdr:row>
      <xdr:rowOff>102825</xdr:rowOff>
    </xdr:to>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28203525"/>
          <a:ext cx="360000" cy="360000"/>
        </a:xfrm>
        <a:prstGeom prst="rect">
          <a:avLst/>
        </a:prstGeom>
      </xdr:spPr>
    </xdr:pic>
    <xdr:clientData/>
  </xdr:twoCellAnchor>
  <xdr:twoCellAnchor editAs="oneCell">
    <xdr:from>
      <xdr:col>1</xdr:col>
      <xdr:colOff>47625</xdr:colOff>
      <xdr:row>148</xdr:row>
      <xdr:rowOff>114300</xdr:rowOff>
    </xdr:from>
    <xdr:to>
      <xdr:col>1</xdr:col>
      <xdr:colOff>407625</xdr:colOff>
      <xdr:row>150</xdr:row>
      <xdr:rowOff>93300</xdr:rowOff>
    </xdr:to>
    <xdr:pic>
      <xdr:nvPicPr>
        <xdr:cNvPr id="19" name="Picture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9289375"/>
          <a:ext cx="360000" cy="360000"/>
        </a:xfrm>
        <a:prstGeom prst="rect">
          <a:avLst/>
        </a:prstGeom>
      </xdr:spPr>
    </xdr:pic>
    <xdr:clientData/>
  </xdr:twoCellAnchor>
  <xdr:oneCellAnchor>
    <xdr:from>
      <xdr:col>1</xdr:col>
      <xdr:colOff>47625</xdr:colOff>
      <xdr:row>154</xdr:row>
      <xdr:rowOff>123825</xdr:rowOff>
    </xdr:from>
    <xdr:ext cx="360000" cy="360000"/>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8584525"/>
          <a:ext cx="360000" cy="360000"/>
        </a:xfrm>
        <a:prstGeom prst="rect">
          <a:avLst/>
        </a:prstGeom>
      </xdr:spPr>
    </xdr:pic>
    <xdr:clientData/>
  </xdr:oneCellAnchor>
  <xdr:twoCellAnchor editAs="oneCell">
    <xdr:from>
      <xdr:col>1</xdr:col>
      <xdr:colOff>28576</xdr:colOff>
      <xdr:row>147</xdr:row>
      <xdr:rowOff>190500</xdr:rowOff>
    </xdr:from>
    <xdr:to>
      <xdr:col>1</xdr:col>
      <xdr:colOff>503242</xdr:colOff>
      <xdr:row>147</xdr:row>
      <xdr:rowOff>658500</xdr:rowOff>
    </xdr:to>
    <xdr:pic>
      <xdr:nvPicPr>
        <xdr:cNvPr id="20" name="Picture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6" y="33728025"/>
          <a:ext cx="474666" cy="468000"/>
        </a:xfrm>
        <a:prstGeom prst="rect">
          <a:avLst/>
        </a:prstGeom>
      </xdr:spPr>
    </xdr:pic>
    <xdr:clientData/>
  </xdr:twoCellAnchor>
  <xdr:twoCellAnchor editAs="oneCell">
    <xdr:from>
      <xdr:col>1</xdr:col>
      <xdr:colOff>47625</xdr:colOff>
      <xdr:row>257</xdr:row>
      <xdr:rowOff>123825</xdr:rowOff>
    </xdr:from>
    <xdr:to>
      <xdr:col>1</xdr:col>
      <xdr:colOff>407625</xdr:colOff>
      <xdr:row>259</xdr:row>
      <xdr:rowOff>64725</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45815250"/>
          <a:ext cx="360000" cy="360000"/>
        </a:xfrm>
        <a:prstGeom prst="rect">
          <a:avLst/>
        </a:prstGeom>
      </xdr:spPr>
    </xdr:pic>
    <xdr:clientData/>
  </xdr:twoCellAnchor>
  <xdr:twoCellAnchor editAs="oneCell">
    <xdr:from>
      <xdr:col>1</xdr:col>
      <xdr:colOff>38100</xdr:colOff>
      <xdr:row>268</xdr:row>
      <xdr:rowOff>171450</xdr:rowOff>
    </xdr:from>
    <xdr:to>
      <xdr:col>1</xdr:col>
      <xdr:colOff>398100</xdr:colOff>
      <xdr:row>270</xdr:row>
      <xdr:rowOff>74250</xdr:rowOff>
    </xdr:to>
    <xdr:pic>
      <xdr:nvPicPr>
        <xdr:cNvPr id="23" name="Picture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54864000"/>
          <a:ext cx="360000" cy="360000"/>
        </a:xfrm>
        <a:prstGeom prst="rect">
          <a:avLst/>
        </a:prstGeom>
      </xdr:spPr>
    </xdr:pic>
    <xdr:clientData/>
  </xdr:twoCellAnchor>
  <xdr:twoCellAnchor editAs="oneCell">
    <xdr:from>
      <xdr:col>1</xdr:col>
      <xdr:colOff>57150</xdr:colOff>
      <xdr:row>285</xdr:row>
      <xdr:rowOff>114300</xdr:rowOff>
    </xdr:from>
    <xdr:to>
      <xdr:col>1</xdr:col>
      <xdr:colOff>417150</xdr:colOff>
      <xdr:row>287</xdr:row>
      <xdr:rowOff>93300</xdr:rowOff>
    </xdr:to>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56216550"/>
          <a:ext cx="360000" cy="360000"/>
        </a:xfrm>
        <a:prstGeom prst="rect">
          <a:avLst/>
        </a:prstGeom>
      </xdr:spPr>
    </xdr:pic>
    <xdr:clientData/>
  </xdr:twoCellAnchor>
  <xdr:twoCellAnchor editAs="oneCell">
    <xdr:from>
      <xdr:col>1</xdr:col>
      <xdr:colOff>19050</xdr:colOff>
      <xdr:row>21</xdr:row>
      <xdr:rowOff>85725</xdr:rowOff>
    </xdr:from>
    <xdr:to>
      <xdr:col>1</xdr:col>
      <xdr:colOff>415050</xdr:colOff>
      <xdr:row>23</xdr:row>
      <xdr:rowOff>100725</xdr:rowOff>
    </xdr:to>
    <xdr:pic>
      <xdr:nvPicPr>
        <xdr:cNvPr id="25" name="Picture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7000875"/>
          <a:ext cx="396000" cy="396000"/>
        </a:xfrm>
        <a:prstGeom prst="rect">
          <a:avLst/>
        </a:prstGeom>
      </xdr:spPr>
    </xdr:pic>
    <xdr:clientData/>
  </xdr:twoCellAnchor>
  <xdr:twoCellAnchor editAs="oneCell">
    <xdr:from>
      <xdr:col>1</xdr:col>
      <xdr:colOff>85725</xdr:colOff>
      <xdr:row>107</xdr:row>
      <xdr:rowOff>85725</xdr:rowOff>
    </xdr:from>
    <xdr:to>
      <xdr:col>1</xdr:col>
      <xdr:colOff>481725</xdr:colOff>
      <xdr:row>109</xdr:row>
      <xdr:rowOff>100725</xdr:rowOff>
    </xdr:to>
    <xdr:pic>
      <xdr:nvPicPr>
        <xdr:cNvPr id="26" name="Picture 2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20974050"/>
          <a:ext cx="396000" cy="396000"/>
        </a:xfrm>
        <a:prstGeom prst="rect">
          <a:avLst/>
        </a:prstGeom>
      </xdr:spPr>
    </xdr:pic>
    <xdr:clientData/>
  </xdr:twoCellAnchor>
  <xdr:oneCellAnchor>
    <xdr:from>
      <xdr:col>1</xdr:col>
      <xdr:colOff>28575</xdr:colOff>
      <xdr:row>35</xdr:row>
      <xdr:rowOff>152400</xdr:rowOff>
    </xdr:from>
    <xdr:ext cx="396000" cy="396000"/>
    <xdr:pic>
      <xdr:nvPicPr>
        <xdr:cNvPr id="27" name="Picture 2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8039100"/>
          <a:ext cx="396000" cy="396000"/>
        </a:xfrm>
        <a:prstGeom prst="rect">
          <a:avLst/>
        </a:prstGeom>
      </xdr:spPr>
    </xdr:pic>
    <xdr:clientData/>
  </xdr:oneCellAnchor>
  <xdr:twoCellAnchor editAs="oneCell">
    <xdr:from>
      <xdr:col>1</xdr:col>
      <xdr:colOff>57150</xdr:colOff>
      <xdr:row>214</xdr:row>
      <xdr:rowOff>95250</xdr:rowOff>
    </xdr:from>
    <xdr:to>
      <xdr:col>1</xdr:col>
      <xdr:colOff>669150</xdr:colOff>
      <xdr:row>217</xdr:row>
      <xdr:rowOff>126225</xdr:rowOff>
    </xdr:to>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46567725"/>
          <a:ext cx="612000" cy="612000"/>
        </a:xfrm>
        <a:prstGeom prst="rect">
          <a:avLst/>
        </a:prstGeom>
      </xdr:spPr>
    </xdr:pic>
    <xdr:clientData/>
  </xdr:twoCellAnchor>
  <xdr:oneCellAnchor>
    <xdr:from>
      <xdr:col>1</xdr:col>
      <xdr:colOff>47625</xdr:colOff>
      <xdr:row>194</xdr:row>
      <xdr:rowOff>123825</xdr:rowOff>
    </xdr:from>
    <xdr:ext cx="360000" cy="360000"/>
    <xdr:pic>
      <xdr:nvPicPr>
        <xdr:cNvPr id="30" name="Picture 2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34347150"/>
          <a:ext cx="360000" cy="360000"/>
        </a:xfrm>
        <a:prstGeom prst="rect">
          <a:avLst/>
        </a:prstGeom>
      </xdr:spPr>
    </xdr:pic>
    <xdr:clientData/>
  </xdr:oneCellAnchor>
  <xdr:oneCellAnchor>
    <xdr:from>
      <xdr:col>1</xdr:col>
      <xdr:colOff>47625</xdr:colOff>
      <xdr:row>221</xdr:row>
      <xdr:rowOff>114300</xdr:rowOff>
    </xdr:from>
    <xdr:ext cx="360000" cy="360000"/>
    <xdr:pic>
      <xdr:nvPicPr>
        <xdr:cNvPr id="31" name="Picture 3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49072800"/>
          <a:ext cx="360000" cy="360000"/>
        </a:xfrm>
        <a:prstGeom prst="rect">
          <a:avLst/>
        </a:prstGeom>
      </xdr:spPr>
    </xdr:pic>
    <xdr:clientData/>
  </xdr:oneCellAnchor>
  <xdr:oneCellAnchor>
    <xdr:from>
      <xdr:col>1</xdr:col>
      <xdr:colOff>47625</xdr:colOff>
      <xdr:row>261</xdr:row>
      <xdr:rowOff>180975</xdr:rowOff>
    </xdr:from>
    <xdr:ext cx="360000" cy="360000"/>
    <xdr:pic>
      <xdr:nvPicPr>
        <xdr:cNvPr id="32" name="Picture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58054875"/>
          <a:ext cx="360000" cy="360000"/>
        </a:xfrm>
        <a:prstGeom prst="rect">
          <a:avLst/>
        </a:prstGeom>
      </xdr:spPr>
    </xdr:pic>
    <xdr:clientData/>
  </xdr:oneCellAnchor>
  <xdr:oneCellAnchor>
    <xdr:from>
      <xdr:col>1</xdr:col>
      <xdr:colOff>47625</xdr:colOff>
      <xdr:row>274</xdr:row>
      <xdr:rowOff>152400</xdr:rowOff>
    </xdr:from>
    <xdr:ext cx="360000" cy="360000"/>
    <xdr:pic>
      <xdr:nvPicPr>
        <xdr:cNvPr id="33" name="Picture 3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55683150"/>
          <a:ext cx="360000" cy="360000"/>
        </a:xfrm>
        <a:prstGeom prst="rect">
          <a:avLst/>
        </a:prstGeom>
      </xdr:spPr>
    </xdr:pic>
    <xdr:clientData/>
  </xdr:oneCellAnchor>
  <xdr:oneCellAnchor>
    <xdr:from>
      <xdr:col>1</xdr:col>
      <xdr:colOff>57150</xdr:colOff>
      <xdr:row>287</xdr:row>
      <xdr:rowOff>123825</xdr:rowOff>
    </xdr:from>
    <xdr:ext cx="360000" cy="360000"/>
    <xdr:pic>
      <xdr:nvPicPr>
        <xdr:cNvPr id="34" name="Picture 3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4800" y="59216925"/>
          <a:ext cx="360000" cy="360000"/>
        </a:xfrm>
        <a:prstGeom prst="rect">
          <a:avLst/>
        </a:prstGeom>
      </xdr:spPr>
    </xdr:pic>
    <xdr:clientData/>
  </xdr:oneCellAnchor>
  <xdr:twoCellAnchor editAs="oneCell">
    <xdr:from>
      <xdr:col>1</xdr:col>
      <xdr:colOff>19050</xdr:colOff>
      <xdr:row>271</xdr:row>
      <xdr:rowOff>76200</xdr:rowOff>
    </xdr:from>
    <xdr:to>
      <xdr:col>1</xdr:col>
      <xdr:colOff>420691</xdr:colOff>
      <xdr:row>273</xdr:row>
      <xdr:rowOff>91200</xdr:rowOff>
    </xdr:to>
    <xdr:pic>
      <xdr:nvPicPr>
        <xdr:cNvPr id="2" name="Picture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58445400"/>
          <a:ext cx="401641" cy="396000"/>
        </a:xfrm>
        <a:prstGeom prst="rect">
          <a:avLst/>
        </a:prstGeom>
      </xdr:spPr>
    </xdr:pic>
    <xdr:clientData/>
  </xdr:twoCellAnchor>
  <xdr:oneCellAnchor>
    <xdr:from>
      <xdr:col>1</xdr:col>
      <xdr:colOff>57150</xdr:colOff>
      <xdr:row>26</xdr:row>
      <xdr:rowOff>9525</xdr:rowOff>
    </xdr:from>
    <xdr:ext cx="612000" cy="612000"/>
    <xdr:pic>
      <xdr:nvPicPr>
        <xdr:cNvPr id="35" name="Picture 3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8191500"/>
          <a:ext cx="612000" cy="612000"/>
        </a:xfrm>
        <a:prstGeom prst="rect">
          <a:avLst/>
        </a:prstGeom>
      </xdr:spPr>
    </xdr:pic>
    <xdr:clientData/>
  </xdr:oneCellAnchor>
  <xdr:twoCellAnchor editAs="oneCell">
    <xdr:from>
      <xdr:col>1</xdr:col>
      <xdr:colOff>28574</xdr:colOff>
      <xdr:row>33</xdr:row>
      <xdr:rowOff>19050</xdr:rowOff>
    </xdr:from>
    <xdr:to>
      <xdr:col>1</xdr:col>
      <xdr:colOff>576266</xdr:colOff>
      <xdr:row>34</xdr:row>
      <xdr:rowOff>178050</xdr:rowOff>
    </xdr:to>
    <xdr:pic>
      <xdr:nvPicPr>
        <xdr:cNvPr id="38" name="Picture 3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4" y="9801225"/>
          <a:ext cx="547692" cy="540000"/>
        </a:xfrm>
        <a:prstGeom prst="rect">
          <a:avLst/>
        </a:prstGeom>
      </xdr:spPr>
    </xdr:pic>
    <xdr:clientData/>
  </xdr:twoCellAnchor>
  <xdr:twoCellAnchor>
    <xdr:from>
      <xdr:col>9</xdr:col>
      <xdr:colOff>819150</xdr:colOff>
      <xdr:row>1</xdr:row>
      <xdr:rowOff>104775</xdr:rowOff>
    </xdr:from>
    <xdr:to>
      <xdr:col>10</xdr:col>
      <xdr:colOff>219075</xdr:colOff>
      <xdr:row>3</xdr:row>
      <xdr:rowOff>76200</xdr:rowOff>
    </xdr:to>
    <xdr:sp macro="" textlink="">
      <xdr:nvSpPr>
        <xdr:cNvPr id="36" name="Up Arrow 35">
          <a:hlinkClick xmlns:r="http://schemas.openxmlformats.org/officeDocument/2006/relationships" r:id="rId13" tooltip="Back to top"/>
        </xdr:cNvPr>
        <xdr:cNvSpPr/>
      </xdr:nvSpPr>
      <xdr:spPr>
        <a:xfrm>
          <a:off x="1035367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28577</xdr:colOff>
      <xdr:row>220</xdr:row>
      <xdr:rowOff>66675</xdr:rowOff>
    </xdr:from>
    <xdr:ext cx="438153" cy="432000"/>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7" y="48396525"/>
          <a:ext cx="438153" cy="432000"/>
        </a:xfrm>
        <a:prstGeom prst="rect">
          <a:avLst/>
        </a:prstGeom>
      </xdr:spPr>
    </xdr:pic>
    <xdr:clientData/>
  </xdr:oneCellAnchor>
  <xdr:oneCellAnchor>
    <xdr:from>
      <xdr:col>1</xdr:col>
      <xdr:colOff>28577</xdr:colOff>
      <xdr:row>260</xdr:row>
      <xdr:rowOff>38100</xdr:rowOff>
    </xdr:from>
    <xdr:ext cx="438153" cy="432000"/>
    <xdr:pic>
      <xdr:nvPicPr>
        <xdr:cNvPr id="39" name="Picture 3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7" y="57445275"/>
          <a:ext cx="438153" cy="432000"/>
        </a:xfrm>
        <a:prstGeom prst="rect">
          <a:avLst/>
        </a:prstGeom>
      </xdr:spPr>
    </xdr:pic>
    <xdr:clientData/>
  </xdr:oneCellAnchor>
  <xdr:twoCellAnchor editAs="oneCell">
    <xdr:from>
      <xdr:col>1</xdr:col>
      <xdr:colOff>28574</xdr:colOff>
      <xdr:row>33</xdr:row>
      <xdr:rowOff>19050</xdr:rowOff>
    </xdr:from>
    <xdr:to>
      <xdr:col>1</xdr:col>
      <xdr:colOff>576266</xdr:colOff>
      <xdr:row>34</xdr:row>
      <xdr:rowOff>178050</xdr:rowOff>
    </xdr:to>
    <xdr:pic>
      <xdr:nvPicPr>
        <xdr:cNvPr id="40" name="Picture 3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4" y="9734550"/>
          <a:ext cx="547692" cy="540000"/>
        </a:xfrm>
        <a:prstGeom prst="rect">
          <a:avLst/>
        </a:prstGeom>
      </xdr:spPr>
    </xdr:pic>
    <xdr:clientData/>
  </xdr:twoCellAnchor>
  <xdr:twoCellAnchor editAs="oneCell">
    <xdr:from>
      <xdr:col>1</xdr:col>
      <xdr:colOff>180975</xdr:colOff>
      <xdr:row>85</xdr:row>
      <xdr:rowOff>28575</xdr:rowOff>
    </xdr:from>
    <xdr:to>
      <xdr:col>6</xdr:col>
      <xdr:colOff>152400</xdr:colOff>
      <xdr:row>101</xdr:row>
      <xdr:rowOff>133350</xdr:rowOff>
    </xdr:to>
    <xdr:pic>
      <xdr:nvPicPr>
        <xdr:cNvPr id="41" name="Picture 40"/>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8" r="-28" b="19027"/>
        <a:stretch/>
      </xdr:blipFill>
      <xdr:spPr bwMode="auto">
        <a:xfrm>
          <a:off x="428625" y="20326350"/>
          <a:ext cx="57340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466725</xdr:colOff>
      <xdr:row>85</xdr:row>
      <xdr:rowOff>9525</xdr:rowOff>
    </xdr:from>
    <xdr:to>
      <xdr:col>12</xdr:col>
      <xdr:colOff>390525</xdr:colOff>
      <xdr:row>104</xdr:row>
      <xdr:rowOff>85725</xdr:rowOff>
    </xdr:to>
    <xdr:pic>
      <xdr:nvPicPr>
        <xdr:cNvPr id="42" name="Picture 41"/>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8" r="-28" b="6209"/>
        <a:stretch/>
      </xdr:blipFill>
      <xdr:spPr bwMode="auto">
        <a:xfrm>
          <a:off x="6477000" y="20307300"/>
          <a:ext cx="573405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247650</xdr:colOff>
      <xdr:row>1</xdr:row>
      <xdr:rowOff>114301</xdr:rowOff>
    </xdr:from>
    <xdr:to>
      <xdr:col>2</xdr:col>
      <xdr:colOff>570300</xdr:colOff>
      <xdr:row>3</xdr:row>
      <xdr:rowOff>57301</xdr:rowOff>
    </xdr:to>
    <xdr:sp macro="" textlink="">
      <xdr:nvSpPr>
        <xdr:cNvPr id="5" name="Rectangle à coins arrondis 2">
          <a:hlinkClick xmlns:r="http://schemas.openxmlformats.org/officeDocument/2006/relationships" r:id="rId1" tooltip="Back to Energy"/>
        </xdr:cNvPr>
        <xdr:cNvSpPr>
          <a:spLocks noChangeArrowheads="1"/>
        </xdr:cNvSpPr>
      </xdr:nvSpPr>
      <xdr:spPr bwMode="auto">
        <a:xfrm>
          <a:off x="247650"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885825</xdr:colOff>
      <xdr:row>1</xdr:row>
      <xdr:rowOff>123825</xdr:rowOff>
    </xdr:from>
    <xdr:to>
      <xdr:col>4</xdr:col>
      <xdr:colOff>103575</xdr:colOff>
      <xdr:row>3</xdr:row>
      <xdr:rowOff>66825</xdr:rowOff>
    </xdr:to>
    <xdr:sp macro="" textlink="">
      <xdr:nvSpPr>
        <xdr:cNvPr id="6" name="Rectangle à coins arrondis 2">
          <a:hlinkClick xmlns:r="http://schemas.openxmlformats.org/officeDocument/2006/relationships" r:id="rId2" tooltip="See the Scorecard"/>
        </xdr:cNvPr>
        <xdr:cNvSpPr>
          <a:spLocks noChangeArrowheads="1"/>
        </xdr:cNvSpPr>
      </xdr:nvSpPr>
      <xdr:spPr bwMode="auto">
        <a:xfrm>
          <a:off x="2543175"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457200</xdr:colOff>
      <xdr:row>1</xdr:row>
      <xdr:rowOff>152400</xdr:rowOff>
    </xdr:from>
    <xdr:to>
      <xdr:col>5</xdr:col>
      <xdr:colOff>156075</xdr:colOff>
      <xdr:row>3</xdr:row>
      <xdr:rowOff>59400</xdr:rowOff>
    </xdr:to>
    <xdr:sp macro="" textlink="">
      <xdr:nvSpPr>
        <xdr:cNvPr id="9" name="Rectangle à coins arrondis 2">
          <a:hlinkClick xmlns:r="http://schemas.openxmlformats.org/officeDocument/2006/relationships" r:id="rId3" tooltip="Strategy A"/>
        </xdr:cNvPr>
        <xdr:cNvSpPr>
          <a:spLocks noChangeArrowheads="1"/>
        </xdr:cNvSpPr>
      </xdr:nvSpPr>
      <xdr:spPr bwMode="auto">
        <a:xfrm>
          <a:off x="4876800"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285749</xdr:colOff>
      <xdr:row>1</xdr:row>
      <xdr:rowOff>152400</xdr:rowOff>
    </xdr:from>
    <xdr:to>
      <xdr:col>6</xdr:col>
      <xdr:colOff>137024</xdr:colOff>
      <xdr:row>3</xdr:row>
      <xdr:rowOff>59400</xdr:rowOff>
    </xdr:to>
    <xdr:sp macro="" textlink="">
      <xdr:nvSpPr>
        <xdr:cNvPr id="10" name="Rectangle à coins arrondis 2">
          <a:hlinkClick xmlns:r="http://schemas.openxmlformats.org/officeDocument/2006/relationships" r:id="rId4" tooltip="Strategy B"/>
        </xdr:cNvPr>
        <xdr:cNvSpPr>
          <a:spLocks noChangeArrowheads="1"/>
        </xdr:cNvSpPr>
      </xdr:nvSpPr>
      <xdr:spPr bwMode="auto">
        <a:xfrm>
          <a:off x="6086474"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266700</xdr:colOff>
      <xdr:row>1</xdr:row>
      <xdr:rowOff>152400</xdr:rowOff>
    </xdr:from>
    <xdr:to>
      <xdr:col>6</xdr:col>
      <xdr:colOff>1346700</xdr:colOff>
      <xdr:row>3</xdr:row>
      <xdr:rowOff>59400</xdr:rowOff>
    </xdr:to>
    <xdr:sp macro="" textlink="">
      <xdr:nvSpPr>
        <xdr:cNvPr id="7" name="Rectangle à coins arrondis 2">
          <a:hlinkClick xmlns:r="http://schemas.openxmlformats.org/officeDocument/2006/relationships" r:id="rId5" tooltip="Strategy A"/>
        </xdr:cNvPr>
        <xdr:cNvSpPr>
          <a:spLocks noChangeArrowheads="1"/>
        </xdr:cNvSpPr>
      </xdr:nvSpPr>
      <xdr:spPr bwMode="auto">
        <a:xfrm>
          <a:off x="7296150"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7</xdr:col>
      <xdr:colOff>57150</xdr:colOff>
      <xdr:row>1</xdr:row>
      <xdr:rowOff>152400</xdr:rowOff>
    </xdr:from>
    <xdr:to>
      <xdr:col>7</xdr:col>
      <xdr:colOff>1137150</xdr:colOff>
      <xdr:row>3</xdr:row>
      <xdr:rowOff>59400</xdr:rowOff>
    </xdr:to>
    <xdr:sp macro="" textlink="">
      <xdr:nvSpPr>
        <xdr:cNvPr id="8" name="Rectangle à coins arrondis 2">
          <a:hlinkClick xmlns:r="http://schemas.openxmlformats.org/officeDocument/2006/relationships" r:id="rId6" tooltip="Strategy A"/>
        </xdr:cNvPr>
        <xdr:cNvSpPr>
          <a:spLocks noChangeArrowheads="1"/>
        </xdr:cNvSpPr>
      </xdr:nvSpPr>
      <xdr:spPr bwMode="auto">
        <a:xfrm>
          <a:off x="8505825"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19050</xdr:colOff>
      <xdr:row>153</xdr:row>
      <xdr:rowOff>190500</xdr:rowOff>
    </xdr:from>
    <xdr:to>
      <xdr:col>1</xdr:col>
      <xdr:colOff>566742</xdr:colOff>
      <xdr:row>154</xdr:row>
      <xdr:rowOff>282825</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31384875"/>
          <a:ext cx="547692" cy="540000"/>
        </a:xfrm>
        <a:prstGeom prst="rect">
          <a:avLst/>
        </a:prstGeom>
      </xdr:spPr>
    </xdr:pic>
    <xdr:clientData/>
  </xdr:twoCellAnchor>
  <xdr:twoCellAnchor editAs="oneCell">
    <xdr:from>
      <xdr:col>1</xdr:col>
      <xdr:colOff>200025</xdr:colOff>
      <xdr:row>160</xdr:row>
      <xdr:rowOff>9525</xdr:rowOff>
    </xdr:from>
    <xdr:to>
      <xdr:col>4</xdr:col>
      <xdr:colOff>656650</xdr:colOff>
      <xdr:row>177</xdr:row>
      <xdr:rowOff>123406</xdr:rowOff>
    </xdr:to>
    <xdr:pic>
      <xdr:nvPicPr>
        <xdr:cNvPr id="3" name="Picture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0" y="21145500"/>
          <a:ext cx="4600000" cy="3352381"/>
        </a:xfrm>
        <a:prstGeom prst="rect">
          <a:avLst/>
        </a:prstGeom>
      </xdr:spPr>
    </xdr:pic>
    <xdr:clientData/>
  </xdr:twoCellAnchor>
  <xdr:twoCellAnchor editAs="oneCell">
    <xdr:from>
      <xdr:col>4</xdr:col>
      <xdr:colOff>645464</xdr:colOff>
      <xdr:row>157</xdr:row>
      <xdr:rowOff>47625</xdr:rowOff>
    </xdr:from>
    <xdr:to>
      <xdr:col>11</xdr:col>
      <xdr:colOff>0</xdr:colOff>
      <xdr:row>181</xdr:row>
      <xdr:rowOff>104775</xdr:rowOff>
    </xdr:to>
    <xdr:pic>
      <xdr:nvPicPr>
        <xdr:cNvPr id="12" name="Picture 11"/>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00" r="350" b="1086"/>
        <a:stretch/>
      </xdr:blipFill>
      <xdr:spPr>
        <a:xfrm>
          <a:off x="5078252" y="20614298"/>
          <a:ext cx="7289595" cy="4629150"/>
        </a:xfrm>
        <a:prstGeom prst="rect">
          <a:avLst/>
        </a:prstGeom>
      </xdr:spPr>
    </xdr:pic>
    <xdr:clientData/>
  </xdr:twoCellAnchor>
  <xdr:twoCellAnchor editAs="oneCell">
    <xdr:from>
      <xdr:col>1</xdr:col>
      <xdr:colOff>66675</xdr:colOff>
      <xdr:row>187</xdr:row>
      <xdr:rowOff>28575</xdr:rowOff>
    </xdr:from>
    <xdr:to>
      <xdr:col>1</xdr:col>
      <xdr:colOff>462675</xdr:colOff>
      <xdr:row>188</xdr:row>
      <xdr:rowOff>195975</xdr:rowOff>
    </xdr:to>
    <xdr:pic>
      <xdr:nvPicPr>
        <xdr:cNvPr id="13" name="Picture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900" y="37985700"/>
          <a:ext cx="396000" cy="396000"/>
        </a:xfrm>
        <a:prstGeom prst="rect">
          <a:avLst/>
        </a:prstGeom>
      </xdr:spPr>
    </xdr:pic>
    <xdr:clientData/>
  </xdr:twoCellAnchor>
  <xdr:twoCellAnchor editAs="oneCell">
    <xdr:from>
      <xdr:col>1</xdr:col>
      <xdr:colOff>47625</xdr:colOff>
      <xdr:row>39</xdr:row>
      <xdr:rowOff>0</xdr:rowOff>
    </xdr:from>
    <xdr:to>
      <xdr:col>1</xdr:col>
      <xdr:colOff>623625</xdr:colOff>
      <xdr:row>42</xdr:row>
      <xdr:rowOff>4500</xdr:rowOff>
    </xdr:to>
    <xdr:pic>
      <xdr:nvPicPr>
        <xdr:cNvPr id="11" name="Picture 1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850" y="9363075"/>
          <a:ext cx="576000" cy="576000"/>
        </a:xfrm>
        <a:prstGeom prst="rect">
          <a:avLst/>
        </a:prstGeom>
      </xdr:spPr>
    </xdr:pic>
    <xdr:clientData/>
  </xdr:twoCellAnchor>
  <xdr:twoCellAnchor editAs="oneCell">
    <xdr:from>
      <xdr:col>1</xdr:col>
      <xdr:colOff>104775</xdr:colOff>
      <xdr:row>248</xdr:row>
      <xdr:rowOff>104775</xdr:rowOff>
    </xdr:from>
    <xdr:to>
      <xdr:col>1</xdr:col>
      <xdr:colOff>464775</xdr:colOff>
      <xdr:row>250</xdr:row>
      <xdr:rowOff>83775</xdr:rowOff>
    </xdr:to>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0" y="49796700"/>
          <a:ext cx="360000" cy="360000"/>
        </a:xfrm>
        <a:prstGeom prst="rect">
          <a:avLst/>
        </a:prstGeom>
      </xdr:spPr>
    </xdr:pic>
    <xdr:clientData/>
  </xdr:twoCellAnchor>
  <xdr:twoCellAnchor editAs="oneCell">
    <xdr:from>
      <xdr:col>1</xdr:col>
      <xdr:colOff>95252</xdr:colOff>
      <xdr:row>246</xdr:row>
      <xdr:rowOff>76200</xdr:rowOff>
    </xdr:from>
    <xdr:to>
      <xdr:col>1</xdr:col>
      <xdr:colOff>496892</xdr:colOff>
      <xdr:row>248</xdr:row>
      <xdr:rowOff>91200</xdr:rowOff>
    </xdr:to>
    <xdr:pic>
      <xdr:nvPicPr>
        <xdr:cNvPr id="21" name="Picture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7" y="49387125"/>
          <a:ext cx="401640" cy="396000"/>
        </a:xfrm>
        <a:prstGeom prst="rect">
          <a:avLst/>
        </a:prstGeom>
      </xdr:spPr>
    </xdr:pic>
    <xdr:clientData/>
  </xdr:twoCellAnchor>
  <xdr:twoCellAnchor editAs="oneCell">
    <xdr:from>
      <xdr:col>1</xdr:col>
      <xdr:colOff>66676</xdr:colOff>
      <xdr:row>104</xdr:row>
      <xdr:rowOff>57150</xdr:rowOff>
    </xdr:from>
    <xdr:to>
      <xdr:col>1</xdr:col>
      <xdr:colOff>541342</xdr:colOff>
      <xdr:row>106</xdr:row>
      <xdr:rowOff>144150</xdr:rowOff>
    </xdr:to>
    <xdr:pic>
      <xdr:nvPicPr>
        <xdr:cNvPr id="29" name="Picture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1" y="22069425"/>
          <a:ext cx="474666" cy="468000"/>
        </a:xfrm>
        <a:prstGeom prst="rect">
          <a:avLst/>
        </a:prstGeom>
      </xdr:spPr>
    </xdr:pic>
    <xdr:clientData/>
  </xdr:twoCellAnchor>
  <xdr:twoCellAnchor editAs="oneCell">
    <xdr:from>
      <xdr:col>1</xdr:col>
      <xdr:colOff>76200</xdr:colOff>
      <xdr:row>231</xdr:row>
      <xdr:rowOff>95250</xdr:rowOff>
    </xdr:from>
    <xdr:to>
      <xdr:col>1</xdr:col>
      <xdr:colOff>472200</xdr:colOff>
      <xdr:row>233</xdr:row>
      <xdr:rowOff>110250</xdr:rowOff>
    </xdr:to>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425" y="46843950"/>
          <a:ext cx="396000" cy="396000"/>
        </a:xfrm>
        <a:prstGeom prst="rect">
          <a:avLst/>
        </a:prstGeom>
      </xdr:spPr>
    </xdr:pic>
    <xdr:clientData/>
  </xdr:twoCellAnchor>
  <xdr:twoCellAnchor editAs="oneCell">
    <xdr:from>
      <xdr:col>1</xdr:col>
      <xdr:colOff>114300</xdr:colOff>
      <xdr:row>250</xdr:row>
      <xdr:rowOff>104775</xdr:rowOff>
    </xdr:from>
    <xdr:to>
      <xdr:col>1</xdr:col>
      <xdr:colOff>474300</xdr:colOff>
      <xdr:row>252</xdr:row>
      <xdr:rowOff>83775</xdr:rowOff>
    </xdr:to>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0525" y="50663475"/>
          <a:ext cx="360000" cy="360000"/>
        </a:xfrm>
        <a:prstGeom prst="rect">
          <a:avLst/>
        </a:prstGeom>
      </xdr:spPr>
    </xdr:pic>
    <xdr:clientData/>
  </xdr:twoCellAnchor>
  <xdr:twoCellAnchor editAs="oneCell">
    <xdr:from>
      <xdr:col>1</xdr:col>
      <xdr:colOff>76200</xdr:colOff>
      <xdr:row>189</xdr:row>
      <xdr:rowOff>104775</xdr:rowOff>
    </xdr:from>
    <xdr:to>
      <xdr:col>1</xdr:col>
      <xdr:colOff>472200</xdr:colOff>
      <xdr:row>191</xdr:row>
      <xdr:rowOff>81675</xdr:rowOff>
    </xdr:to>
    <xdr:pic>
      <xdr:nvPicPr>
        <xdr:cNvPr id="43" name="Picture 4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425" y="39109650"/>
          <a:ext cx="396000" cy="396000"/>
        </a:xfrm>
        <a:prstGeom prst="rect">
          <a:avLst/>
        </a:prstGeom>
      </xdr:spPr>
    </xdr:pic>
    <xdr:clientData/>
  </xdr:twoCellAnchor>
  <xdr:twoCellAnchor editAs="oneCell">
    <xdr:from>
      <xdr:col>1</xdr:col>
      <xdr:colOff>76200</xdr:colOff>
      <xdr:row>107</xdr:row>
      <xdr:rowOff>95250</xdr:rowOff>
    </xdr:from>
    <xdr:to>
      <xdr:col>1</xdr:col>
      <xdr:colOff>472200</xdr:colOff>
      <xdr:row>109</xdr:row>
      <xdr:rowOff>110250</xdr:rowOff>
    </xdr:to>
    <xdr:pic>
      <xdr:nvPicPr>
        <xdr:cNvPr id="44" name="Picture 4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425" y="22326600"/>
          <a:ext cx="396000" cy="396000"/>
        </a:xfrm>
        <a:prstGeom prst="rect">
          <a:avLst/>
        </a:prstGeom>
      </xdr:spPr>
    </xdr:pic>
    <xdr:clientData/>
  </xdr:twoCellAnchor>
  <xdr:twoCellAnchor editAs="oneCell">
    <xdr:from>
      <xdr:col>1</xdr:col>
      <xdr:colOff>85725</xdr:colOff>
      <xdr:row>53</xdr:row>
      <xdr:rowOff>123825</xdr:rowOff>
    </xdr:from>
    <xdr:to>
      <xdr:col>1</xdr:col>
      <xdr:colOff>481725</xdr:colOff>
      <xdr:row>55</xdr:row>
      <xdr:rowOff>100725</xdr:rowOff>
    </xdr:to>
    <xdr:pic>
      <xdr:nvPicPr>
        <xdr:cNvPr id="45" name="Picture 4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1950" y="12296775"/>
          <a:ext cx="396000" cy="396000"/>
        </a:xfrm>
        <a:prstGeom prst="rect">
          <a:avLst/>
        </a:prstGeom>
      </xdr:spPr>
    </xdr:pic>
    <xdr:clientData/>
  </xdr:twoCellAnchor>
  <xdr:twoCellAnchor editAs="oneCell">
    <xdr:from>
      <xdr:col>1</xdr:col>
      <xdr:colOff>66675</xdr:colOff>
      <xdr:row>47</xdr:row>
      <xdr:rowOff>0</xdr:rowOff>
    </xdr:from>
    <xdr:to>
      <xdr:col>1</xdr:col>
      <xdr:colOff>462675</xdr:colOff>
      <xdr:row>49</xdr:row>
      <xdr:rowOff>15000</xdr:rowOff>
    </xdr:to>
    <xdr:pic>
      <xdr:nvPicPr>
        <xdr:cNvPr id="46" name="Picture 4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0" y="11010900"/>
          <a:ext cx="396000" cy="396000"/>
        </a:xfrm>
        <a:prstGeom prst="rect">
          <a:avLst/>
        </a:prstGeom>
      </xdr:spPr>
    </xdr:pic>
    <xdr:clientData/>
  </xdr:twoCellAnchor>
  <xdr:twoCellAnchor editAs="oneCell">
    <xdr:from>
      <xdr:col>1</xdr:col>
      <xdr:colOff>47625</xdr:colOff>
      <xdr:row>22</xdr:row>
      <xdr:rowOff>38100</xdr:rowOff>
    </xdr:from>
    <xdr:to>
      <xdr:col>1</xdr:col>
      <xdr:colOff>443625</xdr:colOff>
      <xdr:row>24</xdr:row>
      <xdr:rowOff>129300</xdr:rowOff>
    </xdr:to>
    <xdr:pic>
      <xdr:nvPicPr>
        <xdr:cNvPr id="35" name="Picture 3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3850" y="6086475"/>
          <a:ext cx="396000" cy="396000"/>
        </a:xfrm>
        <a:prstGeom prst="rect">
          <a:avLst/>
        </a:prstGeom>
      </xdr:spPr>
    </xdr:pic>
    <xdr:clientData/>
  </xdr:twoCellAnchor>
  <xdr:twoCellAnchor editAs="oneCell">
    <xdr:from>
      <xdr:col>1</xdr:col>
      <xdr:colOff>38100</xdr:colOff>
      <xdr:row>99</xdr:row>
      <xdr:rowOff>57150</xdr:rowOff>
    </xdr:from>
    <xdr:to>
      <xdr:col>1</xdr:col>
      <xdr:colOff>542100</xdr:colOff>
      <xdr:row>101</xdr:row>
      <xdr:rowOff>180150</xdr:rowOff>
    </xdr:to>
    <xdr:pic>
      <xdr:nvPicPr>
        <xdr:cNvPr id="47" name="Picture 4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4325" y="20840700"/>
          <a:ext cx="504000" cy="504000"/>
        </a:xfrm>
        <a:prstGeom prst="rect">
          <a:avLst/>
        </a:prstGeom>
      </xdr:spPr>
    </xdr:pic>
    <xdr:clientData/>
  </xdr:twoCellAnchor>
  <xdr:twoCellAnchor editAs="oneCell">
    <xdr:from>
      <xdr:col>1</xdr:col>
      <xdr:colOff>28575</xdr:colOff>
      <xdr:row>182</xdr:row>
      <xdr:rowOff>152400</xdr:rowOff>
    </xdr:from>
    <xdr:to>
      <xdr:col>1</xdr:col>
      <xdr:colOff>496575</xdr:colOff>
      <xdr:row>185</xdr:row>
      <xdr:rowOff>48900</xdr:rowOff>
    </xdr:to>
    <xdr:pic>
      <xdr:nvPicPr>
        <xdr:cNvPr id="48" name="Picture 4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04800" y="37823775"/>
          <a:ext cx="468000" cy="468000"/>
        </a:xfrm>
        <a:prstGeom prst="rect">
          <a:avLst/>
        </a:prstGeom>
      </xdr:spPr>
    </xdr:pic>
    <xdr:clientData/>
  </xdr:twoCellAnchor>
  <xdr:twoCellAnchor editAs="oneCell">
    <xdr:from>
      <xdr:col>1</xdr:col>
      <xdr:colOff>47625</xdr:colOff>
      <xdr:row>228</xdr:row>
      <xdr:rowOff>95250</xdr:rowOff>
    </xdr:from>
    <xdr:to>
      <xdr:col>1</xdr:col>
      <xdr:colOff>479625</xdr:colOff>
      <xdr:row>230</xdr:row>
      <xdr:rowOff>127200</xdr:rowOff>
    </xdr:to>
    <xdr:pic>
      <xdr:nvPicPr>
        <xdr:cNvPr id="49" name="Picture 4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3850" y="45758100"/>
          <a:ext cx="432000" cy="432000"/>
        </a:xfrm>
        <a:prstGeom prst="rect">
          <a:avLst/>
        </a:prstGeom>
      </xdr:spPr>
    </xdr:pic>
    <xdr:clientData/>
  </xdr:twoCellAnchor>
  <xdr:twoCellAnchor editAs="oneCell">
    <xdr:from>
      <xdr:col>1</xdr:col>
      <xdr:colOff>85725</xdr:colOff>
      <xdr:row>244</xdr:row>
      <xdr:rowOff>28575</xdr:rowOff>
    </xdr:from>
    <xdr:to>
      <xdr:col>1</xdr:col>
      <xdr:colOff>481725</xdr:colOff>
      <xdr:row>245</xdr:row>
      <xdr:rowOff>195975</xdr:rowOff>
    </xdr:to>
    <xdr:pic>
      <xdr:nvPicPr>
        <xdr:cNvPr id="50" name="Picture 4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61950" y="48882300"/>
          <a:ext cx="396000" cy="396000"/>
        </a:xfrm>
        <a:prstGeom prst="rect">
          <a:avLst/>
        </a:prstGeom>
      </xdr:spPr>
    </xdr:pic>
    <xdr:clientData/>
  </xdr:twoCellAnchor>
  <xdr:oneCellAnchor>
    <xdr:from>
      <xdr:col>1</xdr:col>
      <xdr:colOff>85725</xdr:colOff>
      <xdr:row>55</xdr:row>
      <xdr:rowOff>133350</xdr:rowOff>
    </xdr:from>
    <xdr:ext cx="396000" cy="396000"/>
    <xdr:pic>
      <xdr:nvPicPr>
        <xdr:cNvPr id="39" name="Picture 3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1950" y="12725400"/>
          <a:ext cx="396000" cy="396000"/>
        </a:xfrm>
        <a:prstGeom prst="rect">
          <a:avLst/>
        </a:prstGeom>
      </xdr:spPr>
    </xdr:pic>
    <xdr:clientData/>
  </xdr:oneCellAnchor>
  <xdr:twoCellAnchor editAs="oneCell">
    <xdr:from>
      <xdr:col>1</xdr:col>
      <xdr:colOff>0</xdr:colOff>
      <xdr:row>148</xdr:row>
      <xdr:rowOff>76200</xdr:rowOff>
    </xdr:from>
    <xdr:to>
      <xdr:col>1</xdr:col>
      <xdr:colOff>432000</xdr:colOff>
      <xdr:row>150</xdr:row>
      <xdr:rowOff>127200</xdr:rowOff>
    </xdr:to>
    <xdr:pic>
      <xdr:nvPicPr>
        <xdr:cNvPr id="40" name="Picture 3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6225" y="30403800"/>
          <a:ext cx="432000" cy="432000"/>
        </a:xfrm>
        <a:prstGeom prst="rect">
          <a:avLst/>
        </a:prstGeom>
      </xdr:spPr>
    </xdr:pic>
    <xdr:clientData/>
  </xdr:twoCellAnchor>
  <xdr:twoCellAnchor>
    <xdr:from>
      <xdr:col>7</xdr:col>
      <xdr:colOff>1362075</xdr:colOff>
      <xdr:row>1</xdr:row>
      <xdr:rowOff>95250</xdr:rowOff>
    </xdr:from>
    <xdr:to>
      <xdr:col>8</xdr:col>
      <xdr:colOff>295275</xdr:colOff>
      <xdr:row>3</xdr:row>
      <xdr:rowOff>66675</xdr:rowOff>
    </xdr:to>
    <xdr:sp macro="" textlink="">
      <xdr:nvSpPr>
        <xdr:cNvPr id="32" name="Up Arrow 35">
          <a:hlinkClick xmlns:r="http://schemas.openxmlformats.org/officeDocument/2006/relationships" r:id="rId14" tooltip="Back to top"/>
        </xdr:cNvPr>
        <xdr:cNvSpPr/>
      </xdr:nvSpPr>
      <xdr:spPr>
        <a:xfrm>
          <a:off x="9810750"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266700</xdr:colOff>
      <xdr:row>1</xdr:row>
      <xdr:rowOff>114300</xdr:rowOff>
    </xdr:from>
    <xdr:to>
      <xdr:col>2</xdr:col>
      <xdr:colOff>646500</xdr:colOff>
      <xdr:row>3</xdr:row>
      <xdr:rowOff>57300</xdr:rowOff>
    </xdr:to>
    <xdr:sp macro="" textlink="">
      <xdr:nvSpPr>
        <xdr:cNvPr id="7" name="Rectangle à coins arrondis 2">
          <a:hlinkClick xmlns:r="http://schemas.openxmlformats.org/officeDocument/2006/relationships" r:id="rId1" tooltip="Back to Energy"/>
        </xdr:cNvPr>
        <xdr:cNvSpPr>
          <a:spLocks noChangeArrowheads="1"/>
        </xdr:cNvSpPr>
      </xdr:nvSpPr>
      <xdr:spPr bwMode="auto">
        <a:xfrm>
          <a:off x="266700" y="438150"/>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1047750</xdr:colOff>
      <xdr:row>1</xdr:row>
      <xdr:rowOff>114300</xdr:rowOff>
    </xdr:from>
    <xdr:to>
      <xdr:col>4</xdr:col>
      <xdr:colOff>856050</xdr:colOff>
      <xdr:row>3</xdr:row>
      <xdr:rowOff>57300</xdr:rowOff>
    </xdr:to>
    <xdr:sp macro="" textlink="">
      <xdr:nvSpPr>
        <xdr:cNvPr id="8" name="Rectangle à coins arrondis 7">
          <a:hlinkClick xmlns:r="http://schemas.openxmlformats.org/officeDocument/2006/relationships" r:id="rId2" tooltip="Scorecard"/>
        </xdr:cNvPr>
        <xdr:cNvSpPr>
          <a:spLocks noChangeArrowheads="1"/>
        </xdr:cNvSpPr>
      </xdr:nvSpPr>
      <xdr:spPr bwMode="auto">
        <a:xfrm>
          <a:off x="26479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390525</xdr:colOff>
      <xdr:row>1</xdr:row>
      <xdr:rowOff>142875</xdr:rowOff>
    </xdr:from>
    <xdr:to>
      <xdr:col>6</xdr:col>
      <xdr:colOff>269400</xdr:colOff>
      <xdr:row>3</xdr:row>
      <xdr:rowOff>49875</xdr:rowOff>
    </xdr:to>
    <xdr:sp macro="" textlink="">
      <xdr:nvSpPr>
        <xdr:cNvPr id="6" name="Rectangle à coins arrondis 2">
          <a:hlinkClick xmlns:r="http://schemas.openxmlformats.org/officeDocument/2006/relationships" r:id="rId3" tooltip="Strategy A"/>
        </xdr:cNvPr>
        <xdr:cNvSpPr>
          <a:spLocks noChangeArrowheads="1"/>
        </xdr:cNvSpPr>
      </xdr:nvSpPr>
      <xdr:spPr bwMode="auto">
        <a:xfrm>
          <a:off x="5543550" y="466725"/>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466724</xdr:colOff>
      <xdr:row>1</xdr:row>
      <xdr:rowOff>152400</xdr:rowOff>
    </xdr:from>
    <xdr:to>
      <xdr:col>7</xdr:col>
      <xdr:colOff>431324</xdr:colOff>
      <xdr:row>3</xdr:row>
      <xdr:rowOff>59400</xdr:rowOff>
    </xdr:to>
    <xdr:sp macro="" textlink="">
      <xdr:nvSpPr>
        <xdr:cNvPr id="9" name="Rectangle à coins arrondis 2">
          <a:hlinkClick xmlns:r="http://schemas.openxmlformats.org/officeDocument/2006/relationships" r:id="rId4" tooltip="Strategy B"/>
        </xdr:cNvPr>
        <xdr:cNvSpPr>
          <a:spLocks noChangeArrowheads="1"/>
        </xdr:cNvSpPr>
      </xdr:nvSpPr>
      <xdr:spPr bwMode="auto">
        <a:xfrm>
          <a:off x="7000874" y="476250"/>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57150</xdr:colOff>
      <xdr:row>81</xdr:row>
      <xdr:rowOff>161925</xdr:rowOff>
    </xdr:from>
    <xdr:to>
      <xdr:col>1</xdr:col>
      <xdr:colOff>633150</xdr:colOff>
      <xdr:row>84</xdr:row>
      <xdr:rowOff>109275</xdr:rowOff>
    </xdr:to>
    <xdr:pic>
      <xdr:nvPicPr>
        <xdr:cNvPr id="11" name="Pictur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18164175"/>
          <a:ext cx="576000" cy="576000"/>
        </a:xfrm>
        <a:prstGeom prst="rect">
          <a:avLst/>
        </a:prstGeom>
      </xdr:spPr>
    </xdr:pic>
    <xdr:clientData/>
  </xdr:twoCellAnchor>
  <xdr:twoCellAnchor editAs="oneCell">
    <xdr:from>
      <xdr:col>1</xdr:col>
      <xdr:colOff>0</xdr:colOff>
      <xdr:row>35</xdr:row>
      <xdr:rowOff>85725</xdr:rowOff>
    </xdr:from>
    <xdr:to>
      <xdr:col>1</xdr:col>
      <xdr:colOff>396000</xdr:colOff>
      <xdr:row>37</xdr:row>
      <xdr:rowOff>100725</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781925"/>
          <a:ext cx="396000" cy="396000"/>
        </a:xfrm>
        <a:prstGeom prst="rect">
          <a:avLst/>
        </a:prstGeom>
      </xdr:spPr>
    </xdr:pic>
    <xdr:clientData/>
  </xdr:twoCellAnchor>
  <xdr:twoCellAnchor editAs="oneCell">
    <xdr:from>
      <xdr:col>1</xdr:col>
      <xdr:colOff>95250</xdr:colOff>
      <xdr:row>26</xdr:row>
      <xdr:rowOff>171450</xdr:rowOff>
    </xdr:from>
    <xdr:to>
      <xdr:col>1</xdr:col>
      <xdr:colOff>743250</xdr:colOff>
      <xdr:row>30</xdr:row>
      <xdr:rowOff>57450</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6134100"/>
          <a:ext cx="648000" cy="648000"/>
        </a:xfrm>
        <a:prstGeom prst="rect">
          <a:avLst/>
        </a:prstGeom>
      </xdr:spPr>
    </xdr:pic>
    <xdr:clientData/>
  </xdr:twoCellAnchor>
  <xdr:twoCellAnchor editAs="oneCell">
    <xdr:from>
      <xdr:col>1</xdr:col>
      <xdr:colOff>0</xdr:colOff>
      <xdr:row>18</xdr:row>
      <xdr:rowOff>95250</xdr:rowOff>
    </xdr:from>
    <xdr:to>
      <xdr:col>1</xdr:col>
      <xdr:colOff>396000</xdr:colOff>
      <xdr:row>20</xdr:row>
      <xdr:rowOff>110250</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4676775"/>
          <a:ext cx="396000" cy="396000"/>
        </a:xfrm>
        <a:prstGeom prst="rect">
          <a:avLst/>
        </a:prstGeom>
      </xdr:spPr>
    </xdr:pic>
    <xdr:clientData/>
  </xdr:twoCellAnchor>
  <xdr:twoCellAnchor editAs="oneCell">
    <xdr:from>
      <xdr:col>1</xdr:col>
      <xdr:colOff>9525</xdr:colOff>
      <xdr:row>76</xdr:row>
      <xdr:rowOff>104775</xdr:rowOff>
    </xdr:from>
    <xdr:to>
      <xdr:col>1</xdr:col>
      <xdr:colOff>405525</xdr:colOff>
      <xdr:row>78</xdr:row>
      <xdr:rowOff>119775</xdr:rowOff>
    </xdr:to>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15868650"/>
          <a:ext cx="396000" cy="396000"/>
        </a:xfrm>
        <a:prstGeom prst="rect">
          <a:avLst/>
        </a:prstGeom>
      </xdr:spPr>
    </xdr:pic>
    <xdr:clientData/>
  </xdr:twoCellAnchor>
  <xdr:twoCellAnchor editAs="oneCell">
    <xdr:from>
      <xdr:col>1</xdr:col>
      <xdr:colOff>19050</xdr:colOff>
      <xdr:row>85</xdr:row>
      <xdr:rowOff>114300</xdr:rowOff>
    </xdr:from>
    <xdr:to>
      <xdr:col>1</xdr:col>
      <xdr:colOff>379050</xdr:colOff>
      <xdr:row>87</xdr:row>
      <xdr:rowOff>93300</xdr:rowOff>
    </xdr:to>
    <xdr:pic>
      <xdr:nvPicPr>
        <xdr:cNvPr id="16" name="Picture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17421225"/>
          <a:ext cx="360000" cy="360000"/>
        </a:xfrm>
        <a:prstGeom prst="rect">
          <a:avLst/>
        </a:prstGeom>
      </xdr:spPr>
    </xdr:pic>
    <xdr:clientData/>
  </xdr:twoCellAnchor>
  <xdr:oneCellAnchor>
    <xdr:from>
      <xdr:col>1</xdr:col>
      <xdr:colOff>0</xdr:colOff>
      <xdr:row>89</xdr:row>
      <xdr:rowOff>85725</xdr:rowOff>
    </xdr:from>
    <xdr:ext cx="396000" cy="396000"/>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820025"/>
          <a:ext cx="396000" cy="396000"/>
        </a:xfrm>
        <a:prstGeom prst="rect">
          <a:avLst/>
        </a:prstGeom>
      </xdr:spPr>
    </xdr:pic>
    <xdr:clientData/>
  </xdr:oneCellAnchor>
  <xdr:twoCellAnchor>
    <xdr:from>
      <xdr:col>8</xdr:col>
      <xdr:colOff>219075</xdr:colOff>
      <xdr:row>1</xdr:row>
      <xdr:rowOff>104775</xdr:rowOff>
    </xdr:from>
    <xdr:to>
      <xdr:col>8</xdr:col>
      <xdr:colOff>665475</xdr:colOff>
      <xdr:row>3</xdr:row>
      <xdr:rowOff>76200</xdr:rowOff>
    </xdr:to>
    <xdr:sp macro="" textlink="">
      <xdr:nvSpPr>
        <xdr:cNvPr id="18" name="Up Arrow 17">
          <a:hlinkClick xmlns:r="http://schemas.openxmlformats.org/officeDocument/2006/relationships" r:id="rId10" tooltip="Back to top"/>
        </xdr:cNvPr>
        <xdr:cNvSpPr/>
      </xdr:nvSpPr>
      <xdr:spPr>
        <a:xfrm>
          <a:off x="9144000" y="428625"/>
          <a:ext cx="446400"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28576</xdr:colOff>
      <xdr:row>79</xdr:row>
      <xdr:rowOff>38100</xdr:rowOff>
    </xdr:from>
    <xdr:to>
      <xdr:col>1</xdr:col>
      <xdr:colOff>503242</xdr:colOff>
      <xdr:row>79</xdr:row>
      <xdr:rowOff>506100</xdr:rowOff>
    </xdr:to>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1" y="17211675"/>
          <a:ext cx="474666" cy="468000"/>
        </a:xfrm>
        <a:prstGeom prst="rect">
          <a:avLst/>
        </a:prstGeom>
      </xdr:spPr>
    </xdr:pic>
    <xdr:clientData/>
  </xdr:twoCellAnchor>
  <xdr:twoCellAnchor editAs="oneCell">
    <xdr:from>
      <xdr:col>1</xdr:col>
      <xdr:colOff>66675</xdr:colOff>
      <xdr:row>21</xdr:row>
      <xdr:rowOff>85725</xdr:rowOff>
    </xdr:from>
    <xdr:to>
      <xdr:col>1</xdr:col>
      <xdr:colOff>462675</xdr:colOff>
      <xdr:row>22</xdr:row>
      <xdr:rowOff>129300</xdr:rowOff>
    </xdr:to>
    <xdr:pic>
      <xdr:nvPicPr>
        <xdr:cNvPr id="21"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2900" y="5200650"/>
          <a:ext cx="396000" cy="396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247650</xdr:colOff>
      <xdr:row>1</xdr:row>
      <xdr:rowOff>114300</xdr:rowOff>
    </xdr:from>
    <xdr:to>
      <xdr:col>2</xdr:col>
      <xdr:colOff>750300</xdr:colOff>
      <xdr:row>3</xdr:row>
      <xdr:rowOff>57300</xdr:rowOff>
    </xdr:to>
    <xdr:sp macro="" textlink="">
      <xdr:nvSpPr>
        <xdr:cNvPr id="2" name="Rectangle à coins arrondis 2">
          <a:hlinkClick xmlns:r="http://schemas.openxmlformats.org/officeDocument/2006/relationships" r:id="rId1" tooltip="Back to Energy"/>
        </xdr:cNvPr>
        <xdr:cNvSpPr>
          <a:spLocks noChangeArrowheads="1"/>
        </xdr:cNvSpPr>
      </xdr:nvSpPr>
      <xdr:spPr bwMode="auto">
        <a:xfrm>
          <a:off x="24765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1247775</xdr:colOff>
      <xdr:row>1</xdr:row>
      <xdr:rowOff>114300</xdr:rowOff>
    </xdr:from>
    <xdr:to>
      <xdr:col>4</xdr:col>
      <xdr:colOff>645525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90512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27</xdr:row>
      <xdr:rowOff>104775</xdr:rowOff>
    </xdr:from>
    <xdr:to>
      <xdr:col>1</xdr:col>
      <xdr:colOff>424575</xdr:colOff>
      <xdr:row>29</xdr:row>
      <xdr:rowOff>81675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5038725"/>
          <a:ext cx="396000" cy="396000"/>
        </a:xfrm>
        <a:prstGeom prst="rect">
          <a:avLst/>
        </a:prstGeom>
      </xdr:spPr>
    </xdr:pic>
    <xdr:clientData/>
  </xdr:twoCellAnchor>
  <xdr:twoCellAnchor editAs="oneCell">
    <xdr:from>
      <xdr:col>1</xdr:col>
      <xdr:colOff>57150</xdr:colOff>
      <xdr:row>47</xdr:row>
      <xdr:rowOff>114300</xdr:rowOff>
    </xdr:from>
    <xdr:to>
      <xdr:col>1</xdr:col>
      <xdr:colOff>453150</xdr:colOff>
      <xdr:row>49</xdr:row>
      <xdr:rowOff>72150</xdr:rowOff>
    </xdr:to>
    <xdr:pic>
      <xdr:nvPicPr>
        <xdr:cNvPr id="31" name="Picture 3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8943975"/>
          <a:ext cx="396000" cy="396000"/>
        </a:xfrm>
        <a:prstGeom prst="rect">
          <a:avLst/>
        </a:prstGeom>
      </xdr:spPr>
    </xdr:pic>
    <xdr:clientData/>
  </xdr:twoCellAnchor>
  <xdr:twoCellAnchor editAs="oneCell">
    <xdr:from>
      <xdr:col>1</xdr:col>
      <xdr:colOff>38100</xdr:colOff>
      <xdr:row>43</xdr:row>
      <xdr:rowOff>114300</xdr:rowOff>
    </xdr:from>
    <xdr:to>
      <xdr:col>1</xdr:col>
      <xdr:colOff>542100</xdr:colOff>
      <xdr:row>45</xdr:row>
      <xdr:rowOff>161100</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8505825"/>
          <a:ext cx="504000" cy="504000"/>
        </a:xfrm>
        <a:prstGeom prst="rect">
          <a:avLst/>
        </a:prstGeom>
      </xdr:spPr>
    </xdr:pic>
    <xdr:clientData/>
  </xdr:twoCellAnchor>
  <xdr:twoCellAnchor editAs="oneCell">
    <xdr:from>
      <xdr:col>1</xdr:col>
      <xdr:colOff>38100</xdr:colOff>
      <xdr:row>23</xdr:row>
      <xdr:rowOff>95250</xdr:rowOff>
    </xdr:from>
    <xdr:to>
      <xdr:col>1</xdr:col>
      <xdr:colOff>542100</xdr:colOff>
      <xdr:row>25</xdr:row>
      <xdr:rowOff>180150</xdr:rowOff>
    </xdr:to>
    <xdr:pic>
      <xdr:nvPicPr>
        <xdr:cNvPr id="32" name="Picture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4191000"/>
          <a:ext cx="504000" cy="504000"/>
        </a:xfrm>
        <a:prstGeom prst="rect">
          <a:avLst/>
        </a:prstGeom>
      </xdr:spPr>
    </xdr:pic>
    <xdr:clientData/>
  </xdr:twoCellAnchor>
  <xdr:twoCellAnchor editAs="oneCell">
    <xdr:from>
      <xdr:col>1</xdr:col>
      <xdr:colOff>0</xdr:colOff>
      <xdr:row>19</xdr:row>
      <xdr:rowOff>114300</xdr:rowOff>
    </xdr:from>
    <xdr:to>
      <xdr:col>1</xdr:col>
      <xdr:colOff>396000</xdr:colOff>
      <xdr:row>21</xdr:row>
      <xdr:rowOff>110250</xdr:rowOff>
    </xdr:to>
    <xdr:pic>
      <xdr:nvPicPr>
        <xdr:cNvPr id="29" name="Pictur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448050"/>
          <a:ext cx="396000" cy="396000"/>
        </a:xfrm>
        <a:prstGeom prst="rect">
          <a:avLst/>
        </a:prstGeom>
      </xdr:spPr>
    </xdr:pic>
    <xdr:clientData/>
  </xdr:twoCellAnchor>
  <xdr:twoCellAnchor editAs="oneCell">
    <xdr:from>
      <xdr:col>1</xdr:col>
      <xdr:colOff>0</xdr:colOff>
      <xdr:row>39</xdr:row>
      <xdr:rowOff>104775</xdr:rowOff>
    </xdr:from>
    <xdr:to>
      <xdr:col>1</xdr:col>
      <xdr:colOff>396000</xdr:colOff>
      <xdr:row>41</xdr:row>
      <xdr:rowOff>81675</xdr:rowOff>
    </xdr:to>
    <xdr:pic>
      <xdr:nvPicPr>
        <xdr:cNvPr id="30" name="Picture 2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7696200"/>
          <a:ext cx="396000" cy="396000"/>
        </a:xfrm>
        <a:prstGeom prst="rect">
          <a:avLst/>
        </a:prstGeom>
      </xdr:spPr>
    </xdr:pic>
    <xdr:clientData/>
  </xdr:twoCellAnchor>
  <xdr:twoCellAnchor>
    <xdr:from>
      <xdr:col>7</xdr:col>
      <xdr:colOff>762000</xdr:colOff>
      <xdr:row>1</xdr:row>
      <xdr:rowOff>85725</xdr:rowOff>
    </xdr:from>
    <xdr:to>
      <xdr:col>8</xdr:col>
      <xdr:colOff>38100</xdr:colOff>
      <xdr:row>3</xdr:row>
      <xdr:rowOff>57150</xdr:rowOff>
    </xdr:to>
    <xdr:sp macro="" textlink="">
      <xdr:nvSpPr>
        <xdr:cNvPr id="10" name="Up Arrow 9">
          <a:hlinkClick xmlns:r="http://schemas.openxmlformats.org/officeDocument/2006/relationships" r:id="rId5" tooltip="Back to top"/>
        </xdr:cNvPr>
        <xdr:cNvSpPr/>
      </xdr:nvSpPr>
      <xdr:spPr>
        <a:xfrm>
          <a:off x="9477375" y="4095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447676</xdr:colOff>
      <xdr:row>5</xdr:row>
      <xdr:rowOff>38100</xdr:rowOff>
    </xdr:from>
    <xdr:to>
      <xdr:col>4</xdr:col>
      <xdr:colOff>1526701</xdr:colOff>
      <xdr:row>6</xdr:row>
      <xdr:rowOff>42450</xdr:rowOff>
    </xdr:to>
    <xdr:sp macro="" textlink="">
      <xdr:nvSpPr>
        <xdr:cNvPr id="11" name="Rectangle à coins arrondis 2">
          <a:hlinkClick xmlns:r="http://schemas.openxmlformats.org/officeDocument/2006/relationships" r:id="rId6" tooltip="Option A"/>
        </xdr:cNvPr>
        <xdr:cNvSpPr>
          <a:spLocks noChangeArrowheads="1"/>
        </xdr:cNvSpPr>
      </xdr:nvSpPr>
      <xdr:spPr bwMode="auto">
        <a:xfrm>
          <a:off x="4867276" y="1200150"/>
          <a:ext cx="1079025"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3</xdr:col>
      <xdr:colOff>1304925</xdr:colOff>
      <xdr:row>5</xdr:row>
      <xdr:rowOff>47625</xdr:rowOff>
    </xdr:from>
    <xdr:to>
      <xdr:col>4</xdr:col>
      <xdr:colOff>283800</xdr:colOff>
      <xdr:row>6</xdr:row>
      <xdr:rowOff>51975</xdr:rowOff>
    </xdr:to>
    <xdr:sp macro="" textlink="">
      <xdr:nvSpPr>
        <xdr:cNvPr id="12" name="Flèche droite 6"/>
        <xdr:cNvSpPr/>
      </xdr:nvSpPr>
      <xdr:spPr>
        <a:xfrm>
          <a:off x="4343400" y="1209675"/>
          <a:ext cx="360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4</xdr:col>
      <xdr:colOff>1724026</xdr:colOff>
      <xdr:row>5</xdr:row>
      <xdr:rowOff>38100</xdr:rowOff>
    </xdr:from>
    <xdr:to>
      <xdr:col>5</xdr:col>
      <xdr:colOff>1059976</xdr:colOff>
      <xdr:row>6</xdr:row>
      <xdr:rowOff>42450</xdr:rowOff>
    </xdr:to>
    <xdr:sp macro="" textlink="">
      <xdr:nvSpPr>
        <xdr:cNvPr id="13" name="Rectangle à coins arrondis 2">
          <a:hlinkClick xmlns:r="http://schemas.openxmlformats.org/officeDocument/2006/relationships" r:id="rId7" tooltip="Option B"/>
        </xdr:cNvPr>
        <xdr:cNvSpPr>
          <a:spLocks noChangeArrowheads="1"/>
        </xdr:cNvSpPr>
      </xdr:nvSpPr>
      <xdr:spPr bwMode="auto">
        <a:xfrm>
          <a:off x="6143626" y="1200150"/>
          <a:ext cx="1079025"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editAs="oneCell">
    <xdr:from>
      <xdr:col>1</xdr:col>
      <xdr:colOff>66675</xdr:colOff>
      <xdr:row>81</xdr:row>
      <xdr:rowOff>142875</xdr:rowOff>
    </xdr:from>
    <xdr:to>
      <xdr:col>1</xdr:col>
      <xdr:colOff>570675</xdr:colOff>
      <xdr:row>83</xdr:row>
      <xdr:rowOff>170625</xdr:rowOff>
    </xdr:to>
    <xdr:pic>
      <xdr:nvPicPr>
        <xdr:cNvPr id="20" name="Pictur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3771900"/>
          <a:ext cx="504000" cy="446850"/>
        </a:xfrm>
        <a:prstGeom prst="rect">
          <a:avLst/>
        </a:prstGeom>
      </xdr:spPr>
    </xdr:pic>
    <xdr:clientData/>
  </xdr:twoCellAnchor>
  <xdr:oneCellAnchor>
    <xdr:from>
      <xdr:col>1</xdr:col>
      <xdr:colOff>0</xdr:colOff>
      <xdr:row>78</xdr:row>
      <xdr:rowOff>66675</xdr:rowOff>
    </xdr:from>
    <xdr:ext cx="401641" cy="396000"/>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3162300"/>
          <a:ext cx="401641" cy="396000"/>
        </a:xfrm>
        <a:prstGeom prst="rect">
          <a:avLst/>
        </a:prstGeom>
      </xdr:spPr>
    </xdr:pic>
    <xdr:clientData/>
  </xdr:oneCellAnchor>
  <xdr:twoCellAnchor editAs="oneCell">
    <xdr:from>
      <xdr:col>1</xdr:col>
      <xdr:colOff>28575</xdr:colOff>
      <xdr:row>85</xdr:row>
      <xdr:rowOff>161925</xdr:rowOff>
    </xdr:from>
    <xdr:to>
      <xdr:col>1</xdr:col>
      <xdr:colOff>388575</xdr:colOff>
      <xdr:row>87</xdr:row>
      <xdr:rowOff>112350</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4552950"/>
          <a:ext cx="360000" cy="369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155037</xdr:colOff>
      <xdr:row>0</xdr:row>
      <xdr:rowOff>74082</xdr:rowOff>
    </xdr:from>
    <xdr:to>
      <xdr:col>11</xdr:col>
      <xdr:colOff>190501</xdr:colOff>
      <xdr:row>4</xdr:row>
      <xdr:rowOff>97906</xdr:rowOff>
    </xdr:to>
    <xdr:pic>
      <xdr:nvPicPr>
        <xdr:cNvPr id="2" name="Image 2" descr="Water.png"/>
        <xdr:cNvPicPr>
          <a:picLocks noChangeAspect="1"/>
        </xdr:cNvPicPr>
      </xdr:nvPicPr>
      <xdr:blipFill>
        <a:blip xmlns:r="http://schemas.openxmlformats.org/officeDocument/2006/relationships" r:embed="rId1" cstate="print"/>
        <a:srcRect/>
        <a:stretch>
          <a:fillRect/>
        </a:stretch>
      </xdr:blipFill>
      <xdr:spPr bwMode="auto">
        <a:xfrm>
          <a:off x="9605954" y="74082"/>
          <a:ext cx="882130" cy="912824"/>
        </a:xfrm>
        <a:prstGeom prst="rect">
          <a:avLst/>
        </a:prstGeom>
        <a:noFill/>
        <a:ln w="9525">
          <a:noFill/>
          <a:miter lim="800000"/>
          <a:headEnd/>
          <a:tailEnd/>
        </a:ln>
      </xdr:spPr>
    </xdr:pic>
    <xdr:clientData/>
  </xdr:twoCellAnchor>
  <xdr:twoCellAnchor>
    <xdr:from>
      <xdr:col>0</xdr:col>
      <xdr:colOff>338666</xdr:colOff>
      <xdr:row>12</xdr:row>
      <xdr:rowOff>148170</xdr:rowOff>
    </xdr:from>
    <xdr:to>
      <xdr:col>1</xdr:col>
      <xdr:colOff>1937666</xdr:colOff>
      <xdr:row>14</xdr:row>
      <xdr:rowOff>10753</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38666" y="3735920"/>
          <a:ext cx="1980000"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514351</xdr:colOff>
      <xdr:row>0</xdr:row>
      <xdr:rowOff>38100</xdr:rowOff>
    </xdr:from>
    <xdr:to>
      <xdr:col>14</xdr:col>
      <xdr:colOff>555151</xdr:colOff>
      <xdr:row>0</xdr:row>
      <xdr:rowOff>326100</xdr:rowOff>
    </xdr:to>
    <xdr:sp macro="" textlink="">
      <xdr:nvSpPr>
        <xdr:cNvPr id="30" name="Rectangle à coins arrondis 2">
          <a:hlinkClick xmlns:r="http://schemas.openxmlformats.org/officeDocument/2006/relationships" r:id="rId1" tooltip="Scorecard"/>
        </xdr:cNvPr>
        <xdr:cNvSpPr>
          <a:spLocks noChangeArrowheads="1"/>
        </xdr:cNvSpPr>
      </xdr:nvSpPr>
      <xdr:spPr bwMode="auto">
        <a:xfrm>
          <a:off x="7734301"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10</xdr:col>
      <xdr:colOff>491599</xdr:colOff>
      <xdr:row>0</xdr:row>
      <xdr:rowOff>38100</xdr:rowOff>
    </xdr:from>
    <xdr:to>
      <xdr:col>12</xdr:col>
      <xdr:colOff>360949</xdr:colOff>
      <xdr:row>0</xdr:row>
      <xdr:rowOff>326100</xdr:rowOff>
    </xdr:to>
    <xdr:sp macro="" textlink="">
      <xdr:nvSpPr>
        <xdr:cNvPr id="31" name="Rectangle à coins arrondis 2">
          <a:hlinkClick xmlns:r="http://schemas.openxmlformats.org/officeDocument/2006/relationships" r:id="rId2" tooltip="Instructions"/>
        </xdr:cNvPr>
        <xdr:cNvSpPr>
          <a:spLocks noChangeArrowheads="1"/>
        </xdr:cNvSpPr>
      </xdr:nvSpPr>
      <xdr:spPr bwMode="auto">
        <a:xfrm>
          <a:off x="6320899"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8</xdr:col>
      <xdr:colOff>314325</xdr:colOff>
      <xdr:row>0</xdr:row>
      <xdr:rowOff>38100</xdr:rowOff>
    </xdr:from>
    <xdr:to>
      <xdr:col>10</xdr:col>
      <xdr:colOff>355125</xdr:colOff>
      <xdr:row>0</xdr:row>
      <xdr:rowOff>326100</xdr:rowOff>
    </xdr:to>
    <xdr:sp macro="" textlink="">
      <xdr:nvSpPr>
        <xdr:cNvPr id="32" name="Rectangle à coins arrondis 2">
          <a:hlinkClick xmlns:r="http://schemas.openxmlformats.org/officeDocument/2006/relationships" r:id="rId3" tooltip="Introduction"/>
        </xdr:cNvPr>
        <xdr:cNvSpPr>
          <a:spLocks noChangeArrowheads="1"/>
        </xdr:cNvSpPr>
      </xdr:nvSpPr>
      <xdr:spPr bwMode="auto">
        <a:xfrm>
          <a:off x="4924425"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twoCellAnchor editAs="oneCell">
    <xdr:from>
      <xdr:col>1</xdr:col>
      <xdr:colOff>247650</xdr:colOff>
      <xdr:row>28</xdr:row>
      <xdr:rowOff>104775</xdr:rowOff>
    </xdr:from>
    <xdr:to>
      <xdr:col>3</xdr:col>
      <xdr:colOff>538350</xdr:colOff>
      <xdr:row>36</xdr:row>
      <xdr:rowOff>128775</xdr:rowOff>
    </xdr:to>
    <xdr:pic>
      <xdr:nvPicPr>
        <xdr:cNvPr id="68" name="Picture 67" descr="http://vgbc.org.vn/wp-content/uploads/2016/10/bci-asia-1.png">
          <a:hlinkClick xmlns:r="http://schemas.openxmlformats.org/officeDocument/2006/relationships" r:id="rId4"/>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5" t="1220" r="1415" b="1220"/>
        <a:stretch/>
      </xdr:blipFill>
      <xdr:spPr bwMode="auto">
        <a:xfrm>
          <a:off x="495300" y="719137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28</xdr:row>
      <xdr:rowOff>123825</xdr:rowOff>
    </xdr:from>
    <xdr:to>
      <xdr:col>7</xdr:col>
      <xdr:colOff>71625</xdr:colOff>
      <xdr:row>36</xdr:row>
      <xdr:rowOff>147825</xdr:rowOff>
    </xdr:to>
    <xdr:pic>
      <xdr:nvPicPr>
        <xdr:cNvPr id="69" name="Picture 68" descr="http://vgbc.org.vn/wp-content/uploads/2016/10/graphenstone.-e1488516524932.jpg">
          <a:hlinkClick xmlns:r="http://schemas.openxmlformats.org/officeDocument/2006/relationships" r:id="rId6"/>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220" t="1220" r="1220" b="1220"/>
        <a:stretch/>
      </xdr:blipFill>
      <xdr:spPr bwMode="auto">
        <a:xfrm>
          <a:off x="2524125" y="721042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514350</xdr:colOff>
      <xdr:row>28</xdr:row>
      <xdr:rowOff>123825</xdr:rowOff>
    </xdr:from>
    <xdr:to>
      <xdr:col>10</xdr:col>
      <xdr:colOff>233550</xdr:colOff>
      <xdr:row>36</xdr:row>
      <xdr:rowOff>147825</xdr:rowOff>
    </xdr:to>
    <xdr:pic>
      <xdr:nvPicPr>
        <xdr:cNvPr id="70" name="Picture 69" descr="http://vgbc.org.vn/wp-content/uploads/2016/10/green-consult-asia-1.png">
          <a:hlinkClick xmlns:r="http://schemas.openxmlformats.org/officeDocument/2006/relationships" r:id="rId8"/>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220" t="1220" r="1220" b="1220"/>
        <a:stretch/>
      </xdr:blipFill>
      <xdr:spPr bwMode="auto">
        <a:xfrm>
          <a:off x="4514850" y="721042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35</xdr:row>
      <xdr:rowOff>95250</xdr:rowOff>
    </xdr:from>
    <xdr:to>
      <xdr:col>3</xdr:col>
      <xdr:colOff>462150</xdr:colOff>
      <xdr:row>43</xdr:row>
      <xdr:rowOff>119250</xdr:rowOff>
    </xdr:to>
    <xdr:pic>
      <xdr:nvPicPr>
        <xdr:cNvPr id="71" name="Picture 70" descr="http://vgbc.org.vn/wp-content/uploads/2016/10/gyproc-1.png">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220" t="1220" r="1220" b="1220"/>
        <a:stretch/>
      </xdr:blipFill>
      <xdr:spPr bwMode="auto">
        <a:xfrm>
          <a:off x="419100" y="8477250"/>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35</xdr:row>
      <xdr:rowOff>95250</xdr:rowOff>
    </xdr:from>
    <xdr:to>
      <xdr:col>7</xdr:col>
      <xdr:colOff>62100</xdr:colOff>
      <xdr:row>43</xdr:row>
      <xdr:rowOff>119250</xdr:rowOff>
    </xdr:to>
    <xdr:pic>
      <xdr:nvPicPr>
        <xdr:cNvPr id="72" name="Picture 71" descr="http://vgbc.org.vn/wp-content/uploads/2016/10/phuc-khang.png">
          <a:hlinkClick xmlns:r="http://schemas.openxmlformats.org/officeDocument/2006/relationships" r:id="rId12"/>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20" t="1220" r="1220" b="1220"/>
        <a:stretch/>
      </xdr:blipFill>
      <xdr:spPr bwMode="auto">
        <a:xfrm>
          <a:off x="2514600" y="8477250"/>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104772</xdr:colOff>
      <xdr:row>63</xdr:row>
      <xdr:rowOff>19049</xdr:rowOff>
    </xdr:from>
    <xdr:to>
      <xdr:col>3</xdr:col>
      <xdr:colOff>230181</xdr:colOff>
      <xdr:row>69</xdr:row>
      <xdr:rowOff>167849</xdr:rowOff>
    </xdr:to>
    <xdr:pic>
      <xdr:nvPicPr>
        <xdr:cNvPr id="73" name="Picture 50" descr="http://vgbc.org.vn/wp-content/uploads/2016/10/vicostone-1.png">
          <a:hlinkClick xmlns:r="http://schemas.openxmlformats.org/officeDocument/2006/relationships" r:id="rId14"/>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990" t="1967" r="1990" b="1967"/>
        <a:stretch>
          <a:fillRect/>
        </a:stretch>
      </xdr:blipFill>
      <xdr:spPr bwMode="auto">
        <a:xfrm>
          <a:off x="352422" y="13592174"/>
          <a:ext cx="1382709"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600074</xdr:colOff>
      <xdr:row>63</xdr:row>
      <xdr:rowOff>161924</xdr:rowOff>
    </xdr:from>
    <xdr:to>
      <xdr:col>5</xdr:col>
      <xdr:colOff>492086</xdr:colOff>
      <xdr:row>69</xdr:row>
      <xdr:rowOff>94724</xdr:rowOff>
    </xdr:to>
    <xdr:pic>
      <xdr:nvPicPr>
        <xdr:cNvPr id="74" name="Picture 51" descr="http://vgbc.org.vn/wp-content/uploads/2016/10/vilandco-1-e1476344593461.png">
          <a:hlinkClick xmlns:r="http://schemas.openxmlformats.org/officeDocument/2006/relationships" r:id="rId16"/>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1990" t="1967" r="1990" b="1967"/>
        <a:stretch>
          <a:fillRect/>
        </a:stretch>
      </xdr:blipFill>
      <xdr:spPr bwMode="auto">
        <a:xfrm>
          <a:off x="2105024" y="13735049"/>
          <a:ext cx="116836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104770</xdr:colOff>
      <xdr:row>47</xdr:row>
      <xdr:rowOff>0</xdr:rowOff>
    </xdr:from>
    <xdr:to>
      <xdr:col>2</xdr:col>
      <xdr:colOff>548680</xdr:colOff>
      <xdr:row>52</xdr:row>
      <xdr:rowOff>89400</xdr:rowOff>
    </xdr:to>
    <xdr:pic>
      <xdr:nvPicPr>
        <xdr:cNvPr id="75" name="Picture 43" descr="http://vgbc.org.vn/wp-content/uploads/2016/09/ACSC.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52420" y="10525125"/>
          <a:ext cx="109161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342900</xdr:colOff>
      <xdr:row>46</xdr:row>
      <xdr:rowOff>66675</xdr:rowOff>
    </xdr:from>
    <xdr:to>
      <xdr:col>11</xdr:col>
      <xdr:colOff>183691</xdr:colOff>
      <xdr:row>52</xdr:row>
      <xdr:rowOff>149775</xdr:rowOff>
    </xdr:to>
    <xdr:pic>
      <xdr:nvPicPr>
        <xdr:cNvPr id="76" name="Picture 47" descr="http://vgbc.org.vn/wp-content/uploads/2016/10/bluescope-1.png">
          <a:hlinkClick xmlns:r="http://schemas.openxmlformats.org/officeDocument/2006/relationships" r:id="rId19"/>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990" t="1967" r="1990" b="1967"/>
        <a:stretch>
          <a:fillRect/>
        </a:stretch>
      </xdr:blipFill>
      <xdr:spPr bwMode="auto">
        <a:xfrm>
          <a:off x="5562600" y="10439400"/>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51</xdr:row>
      <xdr:rowOff>57150</xdr:rowOff>
    </xdr:from>
    <xdr:to>
      <xdr:col>3</xdr:col>
      <xdr:colOff>174166</xdr:colOff>
      <xdr:row>57</xdr:row>
      <xdr:rowOff>102150</xdr:rowOff>
    </xdr:to>
    <xdr:pic>
      <xdr:nvPicPr>
        <xdr:cNvPr id="77" name="Picture 45" descr="http://vgbc.org.vn/wp-content/uploads/2016/10/green-viet.png">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1990" t="1967" r="1990" b="1967"/>
        <a:stretch>
          <a:fillRect/>
        </a:stretch>
      </xdr:blipFill>
      <xdr:spPr bwMode="auto">
        <a:xfrm>
          <a:off x="447675" y="113442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57</xdr:row>
      <xdr:rowOff>9524</xdr:rowOff>
    </xdr:from>
    <xdr:to>
      <xdr:col>3</xdr:col>
      <xdr:colOff>246695</xdr:colOff>
      <xdr:row>64</xdr:row>
      <xdr:rowOff>0</xdr:rowOff>
    </xdr:to>
    <xdr:pic>
      <xdr:nvPicPr>
        <xdr:cNvPr id="79" name="Picture 25" descr="http://vgbc.org.vn/wp-content/uploads/2016/09/Searefico.png">
          <a:hlinkClick xmlns:r="http://schemas.openxmlformats.org/officeDocument/2006/relationships" r:id="rId23"/>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858" t="842" r="858" b="4006"/>
        <a:stretch/>
      </xdr:blipFill>
      <xdr:spPr bwMode="auto">
        <a:xfrm>
          <a:off x="371475" y="12439649"/>
          <a:ext cx="1380170" cy="1323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552450</xdr:colOff>
      <xdr:row>57</xdr:row>
      <xdr:rowOff>171449</xdr:rowOff>
    </xdr:from>
    <xdr:to>
      <xdr:col>8</xdr:col>
      <xdr:colOff>386540</xdr:colOff>
      <xdr:row>63</xdr:row>
      <xdr:rowOff>72449</xdr:rowOff>
    </xdr:to>
    <xdr:pic>
      <xdr:nvPicPr>
        <xdr:cNvPr id="80" name="Picture 54" descr="http://vgbc.org.vn/wp-content/uploads/2016/10/spcc-e1476344764303.png">
          <a:hlinkClick xmlns:r="http://schemas.openxmlformats.org/officeDocument/2006/relationships" r:id="rId25"/>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990" t="1967" r="1990" b="1967"/>
        <a:stretch>
          <a:fillRect/>
        </a:stretch>
      </xdr:blipFill>
      <xdr:spPr bwMode="auto">
        <a:xfrm>
          <a:off x="3943350" y="12601574"/>
          <a:ext cx="1053290"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619125</xdr:colOff>
      <xdr:row>57</xdr:row>
      <xdr:rowOff>104774</xdr:rowOff>
    </xdr:from>
    <xdr:to>
      <xdr:col>5</xdr:col>
      <xdr:colOff>468705</xdr:colOff>
      <xdr:row>63</xdr:row>
      <xdr:rowOff>77774</xdr:rowOff>
    </xdr:to>
    <xdr:pic>
      <xdr:nvPicPr>
        <xdr:cNvPr id="81" name="Picture 53" descr="http://vgbc.org.vn/wp-content/uploads/2016/10/sika-e1476344838533.png">
          <a:hlinkClick xmlns:r="http://schemas.openxmlformats.org/officeDocument/2006/relationships" r:id="rId27"/>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990" t="1967" r="1990" b="1967"/>
        <a:stretch>
          <a:fillRect/>
        </a:stretch>
      </xdr:blipFill>
      <xdr:spPr bwMode="auto">
        <a:xfrm>
          <a:off x="2124075" y="12534899"/>
          <a:ext cx="1125930"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72</xdr:row>
      <xdr:rowOff>47624</xdr:rowOff>
    </xdr:from>
    <xdr:to>
      <xdr:col>2</xdr:col>
      <xdr:colOff>512699</xdr:colOff>
      <xdr:row>77</xdr:row>
      <xdr:rowOff>103124</xdr:rowOff>
    </xdr:to>
    <xdr:pic>
      <xdr:nvPicPr>
        <xdr:cNvPr id="82" name="Picture 7" descr="artelia">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130" t="2139" r="2130" b="2139"/>
        <a:stretch>
          <a:fillRect/>
        </a:stretch>
      </xdr:blipFill>
      <xdr:spPr bwMode="auto">
        <a:xfrm>
          <a:off x="400049" y="15420974"/>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381000</xdr:colOff>
      <xdr:row>72</xdr:row>
      <xdr:rowOff>152399</xdr:rowOff>
    </xdr:from>
    <xdr:to>
      <xdr:col>4</xdr:col>
      <xdr:colOff>598128</xdr:colOff>
      <xdr:row>77</xdr:row>
      <xdr:rowOff>63899</xdr:rowOff>
    </xdr:to>
    <xdr:pic>
      <xdr:nvPicPr>
        <xdr:cNvPr id="83" name="Picture 69" descr="http://vgbc.org.vn/wp-content/uploads/2016/10/boydens-1-e1476344905983.png">
          <a:hlinkClick xmlns:r="http://schemas.openxmlformats.org/officeDocument/2006/relationships" r:id="rId31"/>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2359" t="2322" r="2359" b="2322"/>
        <a:stretch>
          <a:fillRect/>
        </a:stretch>
      </xdr:blipFill>
      <xdr:spPr bwMode="auto">
        <a:xfrm>
          <a:off x="1885950" y="15525749"/>
          <a:ext cx="88387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514348</xdr:colOff>
      <xdr:row>72</xdr:row>
      <xdr:rowOff>95249</xdr:rowOff>
    </xdr:from>
    <xdr:to>
      <xdr:col>7</xdr:col>
      <xdr:colOff>332134</xdr:colOff>
      <xdr:row>77</xdr:row>
      <xdr:rowOff>150749</xdr:rowOff>
    </xdr:to>
    <xdr:pic>
      <xdr:nvPicPr>
        <xdr:cNvPr id="84" name="Picture 17" descr="http://vgbc.org.vn/wp-content/uploads/2017/03/bumatech.jpg">
          <a:hlinkClick xmlns:r="http://schemas.openxmlformats.org/officeDocument/2006/relationships" r:id="rId33"/>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858" t="842" r="858" b="842"/>
        <a:stretch>
          <a:fillRect/>
        </a:stretch>
      </xdr:blipFill>
      <xdr:spPr bwMode="auto">
        <a:xfrm>
          <a:off x="3295648" y="15468599"/>
          <a:ext cx="103698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152399</xdr:colOff>
      <xdr:row>72</xdr:row>
      <xdr:rowOff>142875</xdr:rowOff>
    </xdr:from>
    <xdr:to>
      <xdr:col>13</xdr:col>
      <xdr:colOff>417979</xdr:colOff>
      <xdr:row>77</xdr:row>
      <xdr:rowOff>54375</xdr:rowOff>
    </xdr:to>
    <xdr:pic>
      <xdr:nvPicPr>
        <xdr:cNvPr id="85" name="Picture 66" descr="http://vgbc.org.vn/wp-content/uploads/2016/10/grundfos-1.png">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322" t="2359" r="2322" b="2359"/>
        <a:stretch>
          <a:fillRect/>
        </a:stretch>
      </xdr:blipFill>
      <xdr:spPr bwMode="auto">
        <a:xfrm>
          <a:off x="7372349" y="15516225"/>
          <a:ext cx="875180"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180974</xdr:colOff>
      <xdr:row>77</xdr:row>
      <xdr:rowOff>161925</xdr:rowOff>
    </xdr:from>
    <xdr:to>
      <xdr:col>2</xdr:col>
      <xdr:colOff>547691</xdr:colOff>
      <xdr:row>83</xdr:row>
      <xdr:rowOff>26925</xdr:rowOff>
    </xdr:to>
    <xdr:pic>
      <xdr:nvPicPr>
        <xdr:cNvPr id="86" name="Picture 48" descr="http://vgbc.org.vn/wp-content/uploads/2016/10/kone-e1476344870624.png">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1990" t="1967" r="1990" b="1967"/>
        <a:stretch>
          <a:fillRect/>
        </a:stretch>
      </xdr:blipFill>
      <xdr:spPr bwMode="auto">
        <a:xfrm>
          <a:off x="428624" y="16487775"/>
          <a:ext cx="101441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83</xdr:row>
      <xdr:rowOff>38099</xdr:rowOff>
    </xdr:from>
    <xdr:to>
      <xdr:col>4</xdr:col>
      <xdr:colOff>594593</xdr:colOff>
      <xdr:row>87</xdr:row>
      <xdr:rowOff>140099</xdr:rowOff>
    </xdr:to>
    <xdr:pic>
      <xdr:nvPicPr>
        <xdr:cNvPr id="87" name="Picture 68" descr="http://vgbc.org.vn/wp-content/uploads/2016/12/SHING-DA.pn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2322" t="2359" r="2322" b="2359"/>
        <a:stretch>
          <a:fillRect/>
        </a:stretch>
      </xdr:blipFill>
      <xdr:spPr bwMode="auto">
        <a:xfrm>
          <a:off x="1895475" y="17506949"/>
          <a:ext cx="87081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314323</xdr:colOff>
      <xdr:row>77</xdr:row>
      <xdr:rowOff>180975</xdr:rowOff>
    </xdr:from>
    <xdr:to>
      <xdr:col>5</xdr:col>
      <xdr:colOff>52389</xdr:colOff>
      <xdr:row>83</xdr:row>
      <xdr:rowOff>45975</xdr:rowOff>
    </xdr:to>
    <xdr:pic>
      <xdr:nvPicPr>
        <xdr:cNvPr id="88" name="Picture 67" descr="http://vgbc.org.vn/wp-content/uploads/2016/10/pce-e1476345277864.png">
          <a:hlinkClick xmlns:r="http://schemas.openxmlformats.org/officeDocument/2006/relationships" r:id="rId40"/>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322" t="2359" r="2322" b="2359"/>
        <a:stretch>
          <a:fillRect/>
        </a:stretch>
      </xdr:blipFill>
      <xdr:spPr bwMode="auto">
        <a:xfrm>
          <a:off x="1819273" y="16506825"/>
          <a:ext cx="101441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552447</xdr:colOff>
      <xdr:row>77</xdr:row>
      <xdr:rowOff>142875</xdr:rowOff>
    </xdr:from>
    <xdr:to>
      <xdr:col>7</xdr:col>
      <xdr:colOff>435716</xdr:colOff>
      <xdr:row>83</xdr:row>
      <xdr:rowOff>79875</xdr:rowOff>
    </xdr:to>
    <xdr:pic>
      <xdr:nvPicPr>
        <xdr:cNvPr id="89" name="Picture 38" descr="http://vgbc.org.vn/wp-content/uploads/2017/03/PGF_logo.png">
          <a:hlinkClick xmlns:r="http://schemas.openxmlformats.org/officeDocument/2006/relationships" r:id="rId42"/>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585" t="1599" r="1585" b="1599"/>
        <a:stretch>
          <a:fillRect/>
        </a:stretch>
      </xdr:blipFill>
      <xdr:spPr bwMode="auto">
        <a:xfrm>
          <a:off x="3333747" y="16468725"/>
          <a:ext cx="110246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78</xdr:row>
      <xdr:rowOff>19050</xdr:rowOff>
    </xdr:from>
    <xdr:to>
      <xdr:col>9</xdr:col>
      <xdr:colOff>505275</xdr:colOff>
      <xdr:row>83</xdr:row>
      <xdr:rowOff>38550</xdr:rowOff>
    </xdr:to>
    <xdr:pic>
      <xdr:nvPicPr>
        <xdr:cNvPr id="90" name="Picture 89" descr="http://vgbc.org.vn/wp-content/uploads/2017/04/PTW.jpg">
          <a:hlinkClick xmlns:r="http://schemas.openxmlformats.org/officeDocument/2006/relationships" r:id="rId44"/>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174" t="2174" r="2174" b="2174"/>
        <a:stretch/>
      </xdr:blipFill>
      <xdr:spPr bwMode="auto">
        <a:xfrm>
          <a:off x="4752975" y="16535400"/>
          <a:ext cx="972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82</xdr:row>
      <xdr:rowOff>123825</xdr:rowOff>
    </xdr:from>
    <xdr:to>
      <xdr:col>2</xdr:col>
      <xdr:colOff>541275</xdr:colOff>
      <xdr:row>87</xdr:row>
      <xdr:rowOff>179325</xdr:rowOff>
    </xdr:to>
    <xdr:pic>
      <xdr:nvPicPr>
        <xdr:cNvPr id="91" name="Picture 90" descr="http://vgbc.org.vn/wp-content/uploads/2017/04/tanphatlong.jpg">
          <a:hlinkClick xmlns:r="http://schemas.openxmlformats.org/officeDocument/2006/relationships" r:id="rId46"/>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74" t="2174" r="2174" b="2174"/>
        <a:stretch/>
      </xdr:blipFill>
      <xdr:spPr bwMode="auto">
        <a:xfrm>
          <a:off x="428625" y="1740217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333375</xdr:colOff>
      <xdr:row>57</xdr:row>
      <xdr:rowOff>85725</xdr:rowOff>
    </xdr:from>
    <xdr:to>
      <xdr:col>11</xdr:col>
      <xdr:colOff>202725</xdr:colOff>
      <xdr:row>64</xdr:row>
      <xdr:rowOff>12225</xdr:rowOff>
    </xdr:to>
    <xdr:pic>
      <xdr:nvPicPr>
        <xdr:cNvPr id="92" name="Picture 52" descr="http://vgbc.org.vn/wp-content/uploads/2016/10/trane-e1476344986148.png">
          <a:hlinkClick xmlns:r="http://schemas.openxmlformats.org/officeDocument/2006/relationships" r:id="rId48"/>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1990" t="1967" r="1990" b="1967"/>
        <a:stretch>
          <a:fillRect/>
        </a:stretch>
      </xdr:blipFill>
      <xdr:spPr bwMode="auto">
        <a:xfrm>
          <a:off x="5553075" y="125158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542926</xdr:colOff>
      <xdr:row>58</xdr:row>
      <xdr:rowOff>9524</xdr:rowOff>
    </xdr:from>
    <xdr:to>
      <xdr:col>13</xdr:col>
      <xdr:colOff>378952</xdr:colOff>
      <xdr:row>63</xdr:row>
      <xdr:rowOff>101024</xdr:rowOff>
    </xdr:to>
    <xdr:pic>
      <xdr:nvPicPr>
        <xdr:cNvPr id="93" name="Picture 55" descr="http://vgbc.org.vn/wp-content/uploads/2016/10/undp-e1476344646547.png">
          <a:hlinkClick xmlns:r="http://schemas.openxmlformats.org/officeDocument/2006/relationships" r:id="rId50"/>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1990" t="1967" r="1990" b="1967"/>
        <a:stretch>
          <a:fillRect/>
        </a:stretch>
      </xdr:blipFill>
      <xdr:spPr bwMode="auto">
        <a:xfrm>
          <a:off x="7153276" y="12630149"/>
          <a:ext cx="105522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133345</xdr:colOff>
      <xdr:row>46</xdr:row>
      <xdr:rowOff>9525</xdr:rowOff>
    </xdr:from>
    <xdr:to>
      <xdr:col>3</xdr:col>
      <xdr:colOff>120727</xdr:colOff>
      <xdr:row>52</xdr:row>
      <xdr:rowOff>92625</xdr:rowOff>
    </xdr:to>
    <xdr:pic>
      <xdr:nvPicPr>
        <xdr:cNvPr id="94" name="Picture 43" descr="http://vgbc.org.vn/wp-content/uploads/2016/09/ACSC.png">
          <a:hlinkClick xmlns:r="http://schemas.openxmlformats.org/officeDocument/2006/relationships" r:id="rId52"/>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80995" y="10382250"/>
          <a:ext cx="1244682"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46</xdr:row>
      <xdr:rowOff>19050</xdr:rowOff>
    </xdr:from>
    <xdr:to>
      <xdr:col>5</xdr:col>
      <xdr:colOff>517066</xdr:colOff>
      <xdr:row>52</xdr:row>
      <xdr:rowOff>102150</xdr:rowOff>
    </xdr:to>
    <xdr:pic>
      <xdr:nvPicPr>
        <xdr:cNvPr id="95" name="Picture 46" descr="http://vgbc.org.vn/wp-content/uploads/2016/10/basf.png">
          <a:hlinkClick xmlns:r="http://schemas.openxmlformats.org/officeDocument/2006/relationships" r:id="rId53"/>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l="1990" t="1967" r="1990" b="1967"/>
        <a:stretch>
          <a:fillRect/>
        </a:stretch>
      </xdr:blipFill>
      <xdr:spPr bwMode="auto">
        <a:xfrm>
          <a:off x="2066925" y="103917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657225</xdr:colOff>
      <xdr:row>51</xdr:row>
      <xdr:rowOff>190499</xdr:rowOff>
    </xdr:from>
    <xdr:to>
      <xdr:col>5</xdr:col>
      <xdr:colOff>361525</xdr:colOff>
      <xdr:row>57</xdr:row>
      <xdr:rowOff>19499</xdr:rowOff>
    </xdr:to>
    <xdr:pic>
      <xdr:nvPicPr>
        <xdr:cNvPr id="96" name="Picture 40" descr="http://vgbc.org.vn/wp-content/uploads/2016/10/ies-e1476344408984.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990" t="1967" r="1990" b="1967"/>
        <a:stretch>
          <a:fillRect/>
        </a:stretch>
      </xdr:blipFill>
      <xdr:spPr bwMode="auto">
        <a:xfrm>
          <a:off x="2162175" y="11477624"/>
          <a:ext cx="98065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352425</xdr:colOff>
      <xdr:row>51</xdr:row>
      <xdr:rowOff>180974</xdr:rowOff>
    </xdr:from>
    <xdr:to>
      <xdr:col>11</xdr:col>
      <xdr:colOff>124025</xdr:colOff>
      <xdr:row>57</xdr:row>
      <xdr:rowOff>189974</xdr:rowOff>
    </xdr:to>
    <xdr:pic>
      <xdr:nvPicPr>
        <xdr:cNvPr id="97" name="Picture 41" descr="http://vgbc.org.vn/wp-content/uploads/2016/10/ree.png">
          <a:hlinkClick xmlns:r="http://schemas.openxmlformats.org/officeDocument/2006/relationships" r:id="rId57"/>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1990" t="1967" r="1990" b="1967"/>
        <a:stretch>
          <a:fillRect/>
        </a:stretch>
      </xdr:blipFill>
      <xdr:spPr bwMode="auto">
        <a:xfrm>
          <a:off x="5572125" y="11468099"/>
          <a:ext cx="1162250"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51</xdr:row>
      <xdr:rowOff>95249</xdr:rowOff>
    </xdr:from>
    <xdr:to>
      <xdr:col>13</xdr:col>
      <xdr:colOff>484820</xdr:colOff>
      <xdr:row>58</xdr:row>
      <xdr:rowOff>21749</xdr:rowOff>
    </xdr:to>
    <xdr:pic>
      <xdr:nvPicPr>
        <xdr:cNvPr id="98" name="Picture 27" descr="http://vgbc.org.vn/wp-content/uploads/2016/10/royal-haskoningDHV.png">
          <a:hlinkClick xmlns:r="http://schemas.openxmlformats.org/officeDocument/2006/relationships" r:id="rId59"/>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858" t="4722" r="858" b="4722"/>
        <a:stretch/>
      </xdr:blipFill>
      <xdr:spPr bwMode="auto">
        <a:xfrm>
          <a:off x="6934200" y="11382374"/>
          <a:ext cx="138017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78</xdr:row>
      <xdr:rowOff>28575</xdr:rowOff>
    </xdr:from>
    <xdr:to>
      <xdr:col>11</xdr:col>
      <xdr:colOff>436500</xdr:colOff>
      <xdr:row>83</xdr:row>
      <xdr:rowOff>84075</xdr:rowOff>
    </xdr:to>
    <xdr:pic>
      <xdr:nvPicPr>
        <xdr:cNvPr id="99" name="Picture 98" descr="http://vgbc.org.vn/wp-content/uploads/2017/04/Seas-Consultants.png">
          <a:hlinkClick xmlns:r="http://schemas.openxmlformats.org/officeDocument/2006/relationships" r:id="rId61"/>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865" t="865" r="865" b="865"/>
        <a:stretch/>
      </xdr:blipFill>
      <xdr:spPr bwMode="auto">
        <a:xfrm>
          <a:off x="6038850" y="1654492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295274</xdr:colOff>
      <xdr:row>52</xdr:row>
      <xdr:rowOff>0</xdr:rowOff>
    </xdr:from>
    <xdr:to>
      <xdr:col>8</xdr:col>
      <xdr:colOff>573834</xdr:colOff>
      <xdr:row>57</xdr:row>
      <xdr:rowOff>163500</xdr:rowOff>
    </xdr:to>
    <xdr:pic>
      <xdr:nvPicPr>
        <xdr:cNvPr id="100" name="Picture 99" descr="http://vgbc.org.vn/wp-content/uploads/2017/05/SiamCityCement.jpg"/>
        <xdr:cNvPicPr>
          <a:picLocks noChangeAspect="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l="856" t="13383" r="856" b="13383"/>
        <a:stretch/>
      </xdr:blipFill>
      <xdr:spPr bwMode="auto">
        <a:xfrm>
          <a:off x="3686174" y="11477625"/>
          <a:ext cx="1497760" cy="1116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476251</xdr:colOff>
      <xdr:row>46</xdr:row>
      <xdr:rowOff>28574</xdr:rowOff>
    </xdr:from>
    <xdr:to>
      <xdr:col>13</xdr:col>
      <xdr:colOff>444212</xdr:colOff>
      <xdr:row>52</xdr:row>
      <xdr:rowOff>73574</xdr:rowOff>
    </xdr:to>
    <xdr:pic>
      <xdr:nvPicPr>
        <xdr:cNvPr id="101" name="Picture 100" descr="http://vgbc.org.vn/wp-content/uploads/2016/10/carrier-1-e1476344799934.png"/>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856" t="843" r="856" b="843"/>
        <a:stretch/>
      </xdr:blipFill>
      <xdr:spPr bwMode="auto">
        <a:xfrm>
          <a:off x="7086601" y="10401299"/>
          <a:ext cx="1187161" cy="11499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161925</xdr:colOff>
      <xdr:row>72</xdr:row>
      <xdr:rowOff>114300</xdr:rowOff>
    </xdr:from>
    <xdr:to>
      <xdr:col>11</xdr:col>
      <xdr:colOff>460875</xdr:colOff>
      <xdr:row>78</xdr:row>
      <xdr:rowOff>13200</xdr:rowOff>
    </xdr:to>
    <xdr:pic>
      <xdr:nvPicPr>
        <xdr:cNvPr id="39" name="Picture 39" descr="http://vgbc.org.vn/wp-content/uploads/2016/10/hongkong-land-e1476344339688.png">
          <a:hlinkClick xmlns:r="http://schemas.openxmlformats.org/officeDocument/2006/relationships" r:id="rId65"/>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l="1990" t="1967" r="1990" b="1967"/>
        <a:stretch>
          <a:fillRect/>
        </a:stretch>
      </xdr:blipFill>
      <xdr:spPr bwMode="auto">
        <a:xfrm>
          <a:off x="5991225" y="15487650"/>
          <a:ext cx="108000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46</xdr:row>
      <xdr:rowOff>66674</xdr:rowOff>
    </xdr:from>
    <xdr:to>
      <xdr:col>8</xdr:col>
      <xdr:colOff>456675</xdr:colOff>
      <xdr:row>52</xdr:row>
      <xdr:rowOff>113774</xdr:rowOff>
    </xdr:to>
    <xdr:pic>
      <xdr:nvPicPr>
        <xdr:cNvPr id="40" name="Picture 39" descr="http://vgbc.org.vn/wp-content/uploads/2016/09/belimo.jpg"/>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856" t="843" r="856" b="843"/>
        <a:stretch/>
      </xdr:blipFill>
      <xdr:spPr bwMode="auto">
        <a:xfrm>
          <a:off x="3914775" y="10439399"/>
          <a:ext cx="1152000" cy="1152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57150</xdr:colOff>
      <xdr:row>72</xdr:row>
      <xdr:rowOff>161924</xdr:rowOff>
    </xdr:from>
    <xdr:to>
      <xdr:col>9</xdr:col>
      <xdr:colOff>455550</xdr:colOff>
      <xdr:row>78</xdr:row>
      <xdr:rowOff>26924</xdr:rowOff>
    </xdr:to>
    <xdr:pic>
      <xdr:nvPicPr>
        <xdr:cNvPr id="41" name="Picture 40" descr="http://vgbc.org.vn/wp-content/uploads/2017/05/Fico-Pan.jpg">
          <a:hlinkClick xmlns:r="http://schemas.openxmlformats.org/officeDocument/2006/relationships" r:id="rId68"/>
        </xdr:cNvPr>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2262" t="2241" r="2262" b="2241"/>
        <a:stretch/>
      </xdr:blipFill>
      <xdr:spPr bwMode="auto">
        <a:xfrm>
          <a:off x="4667250" y="15535274"/>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66675</xdr:colOff>
      <xdr:row>77</xdr:row>
      <xdr:rowOff>171449</xdr:rowOff>
    </xdr:from>
    <xdr:to>
      <xdr:col>13</xdr:col>
      <xdr:colOff>465075</xdr:colOff>
      <xdr:row>83</xdr:row>
      <xdr:rowOff>36449</xdr:rowOff>
    </xdr:to>
    <xdr:pic>
      <xdr:nvPicPr>
        <xdr:cNvPr id="42" name="Picture 41" descr="http://vgbc.org.vn/wp-content/uploads/2017/05/SOLASIA.jpg"/>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870" t="855" r="870" b="855"/>
        <a:stretch/>
      </xdr:blipFill>
      <xdr:spPr bwMode="auto">
        <a:xfrm>
          <a:off x="7286625" y="16497299"/>
          <a:ext cx="1008000" cy="10080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304799</xdr:colOff>
      <xdr:row>1</xdr:row>
      <xdr:rowOff>104775</xdr:rowOff>
    </xdr:from>
    <xdr:to>
      <xdr:col>2</xdr:col>
      <xdr:colOff>704850</xdr:colOff>
      <xdr:row>3</xdr:row>
      <xdr:rowOff>47775</xdr:rowOff>
    </xdr:to>
    <xdr:sp macro="" textlink="">
      <xdr:nvSpPr>
        <xdr:cNvPr id="2" name="Rectangle à coins arrondis 2">
          <a:hlinkClick xmlns:r="http://schemas.openxmlformats.org/officeDocument/2006/relationships" r:id="rId1" tooltip="Back to Water"/>
        </xdr:cNvPr>
        <xdr:cNvSpPr>
          <a:spLocks noChangeArrowheads="1"/>
        </xdr:cNvSpPr>
      </xdr:nvSpPr>
      <xdr:spPr bwMode="auto">
        <a:xfrm>
          <a:off x="30479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1009650</xdr:colOff>
      <xdr:row>1</xdr:row>
      <xdr:rowOff>104775</xdr:rowOff>
    </xdr:from>
    <xdr:to>
      <xdr:col>4</xdr:col>
      <xdr:colOff>807450</xdr:colOff>
      <xdr:row>3</xdr:row>
      <xdr:rowOff>47775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59080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381000</xdr:colOff>
      <xdr:row>1</xdr:row>
      <xdr:rowOff>133350</xdr:rowOff>
    </xdr:from>
    <xdr:to>
      <xdr:col>7</xdr:col>
      <xdr:colOff>221775</xdr:colOff>
      <xdr:row>3</xdr:row>
      <xdr:rowOff>40350</xdr:rowOff>
    </xdr:to>
    <xdr:sp macro="" textlink="">
      <xdr:nvSpPr>
        <xdr:cNvPr id="7" name="Rectangle à coins arrondis 2">
          <a:hlinkClick xmlns:r="http://schemas.openxmlformats.org/officeDocument/2006/relationships" r:id="rId3" tooltip="Option A"/>
        </xdr:cNvPr>
        <xdr:cNvSpPr>
          <a:spLocks noChangeArrowheads="1"/>
        </xdr:cNvSpPr>
      </xdr:nvSpPr>
      <xdr:spPr bwMode="auto">
        <a:xfrm>
          <a:off x="6991350" y="428625"/>
          <a:ext cx="1260000" cy="28800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ysClr val="windowText" lastClr="000000"/>
              </a:solidFill>
              <a:latin typeface="Arial" panose="020B0604020202020204" pitchFamily="34" charset="0"/>
              <a:cs typeface="Arial" panose="020B0604020202020204" pitchFamily="34" charset="0"/>
            </a:rPr>
            <a:t>Option</a:t>
          </a:r>
          <a:r>
            <a:rPr lang="fr-FR" sz="1300" b="0" i="0" u="none" strike="noStrike" baseline="0">
              <a:solidFill>
                <a:schemeClr val="bg1"/>
              </a:solidFill>
              <a:latin typeface="Arial" panose="020B0604020202020204" pitchFamily="34" charset="0"/>
              <a:cs typeface="Arial" panose="020B0604020202020204" pitchFamily="34" charset="0"/>
            </a:rPr>
            <a:t> </a:t>
          </a:r>
          <a:r>
            <a:rPr lang="fr-FR" sz="1300" b="0" i="0" u="none" strike="noStrike" baseline="0">
              <a:solidFill>
                <a:sysClr val="windowText" lastClr="000000"/>
              </a:solidFill>
              <a:latin typeface="Arial" panose="020B0604020202020204" pitchFamily="34" charset="0"/>
              <a:cs typeface="Arial" panose="020B0604020202020204" pitchFamily="34" charset="0"/>
            </a:rPr>
            <a:t>A</a:t>
          </a:r>
        </a:p>
      </xdr:txBody>
    </xdr:sp>
    <xdr:clientData/>
  </xdr:twoCellAnchor>
  <xdr:twoCellAnchor>
    <xdr:from>
      <xdr:col>7</xdr:col>
      <xdr:colOff>371474</xdr:colOff>
      <xdr:row>1</xdr:row>
      <xdr:rowOff>133350</xdr:rowOff>
    </xdr:from>
    <xdr:to>
      <xdr:col>8</xdr:col>
      <xdr:colOff>240824</xdr:colOff>
      <xdr:row>3</xdr:row>
      <xdr:rowOff>40350</xdr:rowOff>
    </xdr:to>
    <xdr:sp macro="" textlink="">
      <xdr:nvSpPr>
        <xdr:cNvPr id="8" name="Rectangle à coins arrondis 2">
          <a:hlinkClick xmlns:r="http://schemas.openxmlformats.org/officeDocument/2006/relationships" r:id="rId4" tooltip="Option B"/>
        </xdr:cNvPr>
        <xdr:cNvSpPr>
          <a:spLocks noChangeArrowheads="1"/>
        </xdr:cNvSpPr>
      </xdr:nvSpPr>
      <xdr:spPr bwMode="auto">
        <a:xfrm>
          <a:off x="8401049" y="428625"/>
          <a:ext cx="126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5</xdr:col>
      <xdr:colOff>304800</xdr:colOff>
      <xdr:row>1</xdr:row>
      <xdr:rowOff>133350</xdr:rowOff>
    </xdr:from>
    <xdr:to>
      <xdr:col>6</xdr:col>
      <xdr:colOff>212250</xdr:colOff>
      <xdr:row>3</xdr:row>
      <xdr:rowOff>40350</xdr:rowOff>
    </xdr:to>
    <xdr:sp macro="" textlink="">
      <xdr:nvSpPr>
        <xdr:cNvPr id="12" name="Rectangle à coins arrondis 2">
          <a:hlinkClick xmlns:r="http://schemas.openxmlformats.org/officeDocument/2006/relationships" r:id="rId5" tooltip="Strategy B"/>
        </xdr:cNvPr>
        <xdr:cNvSpPr>
          <a:spLocks noChangeArrowheads="1"/>
        </xdr:cNvSpPr>
      </xdr:nvSpPr>
      <xdr:spPr bwMode="auto">
        <a:xfrm>
          <a:off x="5619750" y="4286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Prerequisite</a:t>
          </a:r>
        </a:p>
      </xdr:txBody>
    </xdr:sp>
    <xdr:clientData/>
  </xdr:twoCellAnchor>
  <xdr:twoCellAnchor editAs="oneCell">
    <xdr:from>
      <xdr:col>1</xdr:col>
      <xdr:colOff>47625</xdr:colOff>
      <xdr:row>36</xdr:row>
      <xdr:rowOff>38100</xdr:rowOff>
    </xdr:from>
    <xdr:to>
      <xdr:col>1</xdr:col>
      <xdr:colOff>587625</xdr:colOff>
      <xdr:row>39</xdr:row>
      <xdr:rowOff>6600</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9534525"/>
          <a:ext cx="540000" cy="540000"/>
        </a:xfrm>
        <a:prstGeom prst="rect">
          <a:avLst/>
        </a:prstGeom>
      </xdr:spPr>
    </xdr:pic>
    <xdr:clientData/>
  </xdr:twoCellAnchor>
  <xdr:oneCellAnchor>
    <xdr:from>
      <xdr:col>1</xdr:col>
      <xdr:colOff>9525</xdr:colOff>
      <xdr:row>40</xdr:row>
      <xdr:rowOff>95250</xdr:rowOff>
    </xdr:from>
    <xdr:ext cx="396000" cy="396000"/>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7181850"/>
          <a:ext cx="396000" cy="396000"/>
        </a:xfrm>
        <a:prstGeom prst="rect">
          <a:avLst/>
        </a:prstGeom>
      </xdr:spPr>
    </xdr:pic>
    <xdr:clientData/>
  </xdr:oneCellAnchor>
  <xdr:twoCellAnchor editAs="oneCell">
    <xdr:from>
      <xdr:col>1</xdr:col>
      <xdr:colOff>0</xdr:colOff>
      <xdr:row>30</xdr:row>
      <xdr:rowOff>104775</xdr:rowOff>
    </xdr:from>
    <xdr:to>
      <xdr:col>1</xdr:col>
      <xdr:colOff>396000</xdr:colOff>
      <xdr:row>32</xdr:row>
      <xdr:rowOff>119775</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6276975"/>
          <a:ext cx="396000" cy="396000"/>
        </a:xfrm>
        <a:prstGeom prst="rect">
          <a:avLst/>
        </a:prstGeom>
      </xdr:spPr>
    </xdr:pic>
    <xdr:clientData/>
  </xdr:twoCellAnchor>
  <xdr:twoCellAnchor>
    <xdr:from>
      <xdr:col>1</xdr:col>
      <xdr:colOff>266700</xdr:colOff>
      <xdr:row>91</xdr:row>
      <xdr:rowOff>200025</xdr:rowOff>
    </xdr:from>
    <xdr:to>
      <xdr:col>2</xdr:col>
      <xdr:colOff>278925</xdr:colOff>
      <xdr:row>93</xdr:row>
      <xdr:rowOff>11775</xdr:rowOff>
    </xdr:to>
    <xdr:sp macro="" textlink="">
      <xdr:nvSpPr>
        <xdr:cNvPr id="16" name="Rectangle à coins arrondis 2">
          <a:hlinkClick xmlns:r="http://schemas.openxmlformats.org/officeDocument/2006/relationships" r:id="rId8" tooltip="Strategy A"/>
        </xdr:cNvPr>
        <xdr:cNvSpPr>
          <a:spLocks noChangeArrowheads="1"/>
        </xdr:cNvSpPr>
      </xdr:nvSpPr>
      <xdr:spPr bwMode="auto">
        <a:xfrm>
          <a:off x="600075"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A1</a:t>
          </a:r>
        </a:p>
      </xdr:txBody>
    </xdr:sp>
    <xdr:clientData/>
  </xdr:twoCellAnchor>
  <xdr:twoCellAnchor>
    <xdr:from>
      <xdr:col>2</xdr:col>
      <xdr:colOff>390524</xdr:colOff>
      <xdr:row>91</xdr:row>
      <xdr:rowOff>200025</xdr:rowOff>
    </xdr:from>
    <xdr:to>
      <xdr:col>3</xdr:col>
      <xdr:colOff>402749</xdr:colOff>
      <xdr:row>93</xdr:row>
      <xdr:rowOff>11775</xdr:rowOff>
    </xdr:to>
    <xdr:sp macro="" textlink="">
      <xdr:nvSpPr>
        <xdr:cNvPr id="17" name="Rectangle à coins arrondis 2">
          <a:hlinkClick xmlns:r="http://schemas.openxmlformats.org/officeDocument/2006/relationships" r:id="rId9" tooltip="Strategy A2"/>
        </xdr:cNvPr>
        <xdr:cNvSpPr>
          <a:spLocks noChangeArrowheads="1"/>
        </xdr:cNvSpPr>
      </xdr:nvSpPr>
      <xdr:spPr bwMode="auto">
        <a:xfrm>
          <a:off x="1971674"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A2</a:t>
          </a:r>
        </a:p>
      </xdr:txBody>
    </xdr:sp>
    <xdr:clientData/>
  </xdr:twoCellAnchor>
  <xdr:twoCellAnchor>
    <xdr:from>
      <xdr:col>3</xdr:col>
      <xdr:colOff>542925</xdr:colOff>
      <xdr:row>91</xdr:row>
      <xdr:rowOff>200025</xdr:rowOff>
    </xdr:from>
    <xdr:to>
      <xdr:col>4</xdr:col>
      <xdr:colOff>688500</xdr:colOff>
      <xdr:row>93</xdr:row>
      <xdr:rowOff>11775</xdr:rowOff>
    </xdr:to>
    <xdr:sp macro="" textlink="">
      <xdr:nvSpPr>
        <xdr:cNvPr id="18" name="Rectangle à coins arrondis 2">
          <a:hlinkClick xmlns:r="http://schemas.openxmlformats.org/officeDocument/2006/relationships" r:id="rId10" tooltip="Strategy A3"/>
        </xdr:cNvPr>
        <xdr:cNvSpPr>
          <a:spLocks noChangeArrowheads="1"/>
        </xdr:cNvSpPr>
      </xdr:nvSpPr>
      <xdr:spPr bwMode="auto">
        <a:xfrm>
          <a:off x="3371850"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A3</a:t>
          </a:r>
        </a:p>
      </xdr:txBody>
    </xdr:sp>
    <xdr:clientData/>
  </xdr:twoCellAnchor>
  <xdr:twoCellAnchor>
    <xdr:from>
      <xdr:col>1</xdr:col>
      <xdr:colOff>266700</xdr:colOff>
      <xdr:row>246</xdr:row>
      <xdr:rowOff>200025</xdr:rowOff>
    </xdr:from>
    <xdr:to>
      <xdr:col>2</xdr:col>
      <xdr:colOff>278925</xdr:colOff>
      <xdr:row>248</xdr:row>
      <xdr:rowOff>11775</xdr:rowOff>
    </xdr:to>
    <xdr:sp macro="" textlink="">
      <xdr:nvSpPr>
        <xdr:cNvPr id="19" name="Rectangle à coins arrondis 2">
          <a:hlinkClick xmlns:r="http://schemas.openxmlformats.org/officeDocument/2006/relationships" r:id="rId11" tooltip="Strategy B1"/>
        </xdr:cNvPr>
        <xdr:cNvSpPr>
          <a:spLocks noChangeArrowheads="1"/>
        </xdr:cNvSpPr>
      </xdr:nvSpPr>
      <xdr:spPr bwMode="auto">
        <a:xfrm>
          <a:off x="600075"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B1</a:t>
          </a:r>
        </a:p>
      </xdr:txBody>
    </xdr:sp>
    <xdr:clientData/>
  </xdr:twoCellAnchor>
  <xdr:twoCellAnchor>
    <xdr:from>
      <xdr:col>2</xdr:col>
      <xdr:colOff>390524</xdr:colOff>
      <xdr:row>246</xdr:row>
      <xdr:rowOff>200025</xdr:rowOff>
    </xdr:from>
    <xdr:to>
      <xdr:col>3</xdr:col>
      <xdr:colOff>402749</xdr:colOff>
      <xdr:row>248</xdr:row>
      <xdr:rowOff>11775</xdr:rowOff>
    </xdr:to>
    <xdr:sp macro="" textlink="">
      <xdr:nvSpPr>
        <xdr:cNvPr id="20" name="Rectangle à coins arrondis 2">
          <a:hlinkClick xmlns:r="http://schemas.openxmlformats.org/officeDocument/2006/relationships" r:id="rId12" tooltip="Strategy B2"/>
        </xdr:cNvPr>
        <xdr:cNvSpPr>
          <a:spLocks noChangeArrowheads="1"/>
        </xdr:cNvSpPr>
      </xdr:nvSpPr>
      <xdr:spPr bwMode="auto">
        <a:xfrm>
          <a:off x="1971674"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B2</a:t>
          </a:r>
        </a:p>
      </xdr:txBody>
    </xdr:sp>
    <xdr:clientData/>
  </xdr:twoCellAnchor>
  <xdr:oneCellAnchor>
    <xdr:from>
      <xdr:col>0</xdr:col>
      <xdr:colOff>323850</xdr:colOff>
      <xdr:row>97</xdr:row>
      <xdr:rowOff>95250</xdr:rowOff>
    </xdr:from>
    <xdr:ext cx="396000" cy="396000"/>
    <xdr:pic>
      <xdr:nvPicPr>
        <xdr:cNvPr id="22" name="Picture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19783425"/>
          <a:ext cx="396000" cy="396000"/>
        </a:xfrm>
        <a:prstGeom prst="rect">
          <a:avLst/>
        </a:prstGeom>
      </xdr:spPr>
    </xdr:pic>
    <xdr:clientData/>
  </xdr:oneCellAnchor>
  <xdr:twoCellAnchor editAs="oneCell">
    <xdr:from>
      <xdr:col>1</xdr:col>
      <xdr:colOff>47625</xdr:colOff>
      <xdr:row>163</xdr:row>
      <xdr:rowOff>66675</xdr:rowOff>
    </xdr:from>
    <xdr:to>
      <xdr:col>1</xdr:col>
      <xdr:colOff>479625</xdr:colOff>
      <xdr:row>165</xdr:row>
      <xdr:rowOff>117675</xdr:rowOff>
    </xdr:to>
    <xdr:pic>
      <xdr:nvPicPr>
        <xdr:cNvPr id="4" name="Picture 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0" y="35242500"/>
          <a:ext cx="432000" cy="432000"/>
        </a:xfrm>
        <a:prstGeom prst="rect">
          <a:avLst/>
        </a:prstGeom>
      </xdr:spPr>
    </xdr:pic>
    <xdr:clientData/>
  </xdr:twoCellAnchor>
  <xdr:oneCellAnchor>
    <xdr:from>
      <xdr:col>1</xdr:col>
      <xdr:colOff>0</xdr:colOff>
      <xdr:row>160</xdr:row>
      <xdr:rowOff>161925</xdr:rowOff>
    </xdr:from>
    <xdr:ext cx="396000" cy="396000"/>
    <xdr:pic>
      <xdr:nvPicPr>
        <xdr:cNvPr id="21" name="Picture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34623375"/>
          <a:ext cx="396000" cy="396000"/>
        </a:xfrm>
        <a:prstGeom prst="rect">
          <a:avLst/>
        </a:prstGeom>
      </xdr:spPr>
    </xdr:pic>
    <xdr:clientData/>
  </xdr:oneCellAnchor>
  <xdr:oneCellAnchor>
    <xdr:from>
      <xdr:col>1</xdr:col>
      <xdr:colOff>9525</xdr:colOff>
      <xdr:row>195</xdr:row>
      <xdr:rowOff>104775</xdr:rowOff>
    </xdr:from>
    <xdr:ext cx="360000" cy="360000"/>
    <xdr:pic>
      <xdr:nvPicPr>
        <xdr:cNvPr id="23" name="Picture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36366450"/>
          <a:ext cx="360000" cy="360000"/>
        </a:xfrm>
        <a:prstGeom prst="rect">
          <a:avLst/>
        </a:prstGeom>
      </xdr:spPr>
    </xdr:pic>
    <xdr:clientData/>
  </xdr:oneCellAnchor>
  <xdr:oneCellAnchor>
    <xdr:from>
      <xdr:col>1</xdr:col>
      <xdr:colOff>9525</xdr:colOff>
      <xdr:row>197</xdr:row>
      <xdr:rowOff>123825</xdr:rowOff>
    </xdr:from>
    <xdr:ext cx="360000" cy="360000"/>
    <xdr:pic>
      <xdr:nvPicPr>
        <xdr:cNvPr id="24" name="Picture 2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41548050"/>
          <a:ext cx="360000" cy="360000"/>
        </a:xfrm>
        <a:prstGeom prst="rect">
          <a:avLst/>
        </a:prstGeom>
      </xdr:spPr>
    </xdr:pic>
    <xdr:clientData/>
  </xdr:oneCellAnchor>
  <xdr:twoCellAnchor>
    <xdr:from>
      <xdr:col>6</xdr:col>
      <xdr:colOff>819150</xdr:colOff>
      <xdr:row>102</xdr:row>
      <xdr:rowOff>152400</xdr:rowOff>
    </xdr:from>
    <xdr:to>
      <xdr:col>7</xdr:col>
      <xdr:colOff>1304925</xdr:colOff>
      <xdr:row>105</xdr:row>
      <xdr:rowOff>87000</xdr:rowOff>
    </xdr:to>
    <xdr:sp macro="" textlink="">
      <xdr:nvSpPr>
        <xdr:cNvPr id="25" name="Rectangle à coins arrondis 2">
          <a:hlinkClick xmlns:r="http://schemas.openxmlformats.org/officeDocument/2006/relationships" r:id="rId15" tooltip="Resources"/>
        </xdr:cNvPr>
        <xdr:cNvSpPr>
          <a:spLocks noChangeArrowheads="1"/>
        </xdr:cNvSpPr>
      </xdr:nvSpPr>
      <xdr:spPr bwMode="auto">
        <a:xfrm>
          <a:off x="7429500" y="23850600"/>
          <a:ext cx="1905000"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Tables W.2 to W.6</a:t>
          </a:r>
        </a:p>
      </xdr:txBody>
    </xdr:sp>
    <xdr:clientData/>
  </xdr:twoCellAnchor>
  <xdr:oneCellAnchor>
    <xdr:from>
      <xdr:col>1</xdr:col>
      <xdr:colOff>9525</xdr:colOff>
      <xdr:row>105</xdr:row>
      <xdr:rowOff>95250</xdr:rowOff>
    </xdr:from>
    <xdr:ext cx="396000" cy="396000"/>
    <xdr:pic>
      <xdr:nvPicPr>
        <xdr:cNvPr id="26" name="Picture 2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9620250"/>
          <a:ext cx="396000" cy="396000"/>
        </a:xfrm>
        <a:prstGeom prst="rect">
          <a:avLst/>
        </a:prstGeom>
      </xdr:spPr>
    </xdr:pic>
    <xdr:clientData/>
  </xdr:oneCellAnchor>
  <xdr:oneCellAnchor>
    <xdr:from>
      <xdr:col>1</xdr:col>
      <xdr:colOff>9525</xdr:colOff>
      <xdr:row>166</xdr:row>
      <xdr:rowOff>95250</xdr:rowOff>
    </xdr:from>
    <xdr:ext cx="396000" cy="396000"/>
    <xdr:pic>
      <xdr:nvPicPr>
        <xdr:cNvPr id="27" name="Picture 2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23698200"/>
          <a:ext cx="396000" cy="396000"/>
        </a:xfrm>
        <a:prstGeom prst="rect">
          <a:avLst/>
        </a:prstGeom>
      </xdr:spPr>
    </xdr:pic>
    <xdr:clientData/>
  </xdr:oneCellAnchor>
  <xdr:oneCellAnchor>
    <xdr:from>
      <xdr:col>1</xdr:col>
      <xdr:colOff>38100</xdr:colOff>
      <xdr:row>219</xdr:row>
      <xdr:rowOff>104775</xdr:rowOff>
    </xdr:from>
    <xdr:ext cx="360000" cy="360000"/>
    <xdr:pic>
      <xdr:nvPicPr>
        <xdr:cNvPr id="28" name="Picture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41910000"/>
          <a:ext cx="360000" cy="360000"/>
        </a:xfrm>
        <a:prstGeom prst="rect">
          <a:avLst/>
        </a:prstGeom>
      </xdr:spPr>
    </xdr:pic>
    <xdr:clientData/>
  </xdr:oneCellAnchor>
  <xdr:oneCellAnchor>
    <xdr:from>
      <xdr:col>1</xdr:col>
      <xdr:colOff>9525</xdr:colOff>
      <xdr:row>32</xdr:row>
      <xdr:rowOff>171450</xdr:rowOff>
    </xdr:from>
    <xdr:ext cx="360000" cy="360000"/>
    <xdr:pic>
      <xdr:nvPicPr>
        <xdr:cNvPr id="29" name="Picture 2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8867775"/>
          <a:ext cx="360000" cy="360000"/>
        </a:xfrm>
        <a:prstGeom prst="rect">
          <a:avLst/>
        </a:prstGeom>
      </xdr:spPr>
    </xdr:pic>
    <xdr:clientData/>
  </xdr:oneCellAnchor>
  <xdr:twoCellAnchor>
    <xdr:from>
      <xdr:col>6</xdr:col>
      <xdr:colOff>819150</xdr:colOff>
      <xdr:row>257</xdr:row>
      <xdr:rowOff>152400</xdr:rowOff>
    </xdr:from>
    <xdr:to>
      <xdr:col>7</xdr:col>
      <xdr:colOff>1304925</xdr:colOff>
      <xdr:row>260</xdr:row>
      <xdr:rowOff>87000</xdr:rowOff>
    </xdr:to>
    <xdr:sp macro="" textlink="">
      <xdr:nvSpPr>
        <xdr:cNvPr id="31" name="Rectangle à coins arrondis 2">
          <a:hlinkClick xmlns:r="http://schemas.openxmlformats.org/officeDocument/2006/relationships" r:id="rId15" tooltip="Resources"/>
        </xdr:cNvPr>
        <xdr:cNvSpPr>
          <a:spLocks noChangeArrowheads="1"/>
        </xdr:cNvSpPr>
      </xdr:nvSpPr>
      <xdr:spPr bwMode="auto">
        <a:xfrm>
          <a:off x="7429500" y="23850600"/>
          <a:ext cx="1905000"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Tables W.2 to W.6</a:t>
          </a:r>
        </a:p>
      </xdr:txBody>
    </xdr:sp>
    <xdr:clientData/>
  </xdr:twoCellAnchor>
  <xdr:oneCellAnchor>
    <xdr:from>
      <xdr:col>1</xdr:col>
      <xdr:colOff>9525</xdr:colOff>
      <xdr:row>260</xdr:row>
      <xdr:rowOff>95250</xdr:rowOff>
    </xdr:from>
    <xdr:ext cx="396000" cy="396000"/>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24364950"/>
          <a:ext cx="396000" cy="396000"/>
        </a:xfrm>
        <a:prstGeom prst="rect">
          <a:avLst/>
        </a:prstGeom>
      </xdr:spPr>
    </xdr:pic>
    <xdr:clientData/>
  </xdr:oneCellAnchor>
  <xdr:twoCellAnchor>
    <xdr:from>
      <xdr:col>3</xdr:col>
      <xdr:colOff>514350</xdr:colOff>
      <xdr:row>246</xdr:row>
      <xdr:rowOff>200025</xdr:rowOff>
    </xdr:from>
    <xdr:to>
      <xdr:col>4</xdr:col>
      <xdr:colOff>764700</xdr:colOff>
      <xdr:row>248</xdr:row>
      <xdr:rowOff>11775</xdr:rowOff>
    </xdr:to>
    <xdr:sp macro="" textlink="">
      <xdr:nvSpPr>
        <xdr:cNvPr id="33" name="Rectangle à coins arrondis 2">
          <a:hlinkClick xmlns:r="http://schemas.openxmlformats.org/officeDocument/2006/relationships" r:id="rId16" tooltip="Strategy B3"/>
        </xdr:cNvPr>
        <xdr:cNvSpPr>
          <a:spLocks noChangeArrowheads="1"/>
        </xdr:cNvSpPr>
      </xdr:nvSpPr>
      <xdr:spPr bwMode="auto">
        <a:xfrm>
          <a:off x="3600450" y="46996350"/>
          <a:ext cx="1364775"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B3</a:t>
          </a:r>
        </a:p>
      </xdr:txBody>
    </xdr:sp>
    <xdr:clientData/>
  </xdr:twoCellAnchor>
  <xdr:oneCellAnchor>
    <xdr:from>
      <xdr:col>1</xdr:col>
      <xdr:colOff>47625</xdr:colOff>
      <xdr:row>316</xdr:row>
      <xdr:rowOff>66675</xdr:rowOff>
    </xdr:from>
    <xdr:ext cx="432000" cy="432000"/>
    <xdr:pic>
      <xdr:nvPicPr>
        <xdr:cNvPr id="34" name="Picture 3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0" y="29413200"/>
          <a:ext cx="432000" cy="432000"/>
        </a:xfrm>
        <a:prstGeom prst="rect">
          <a:avLst/>
        </a:prstGeom>
      </xdr:spPr>
    </xdr:pic>
    <xdr:clientData/>
  </xdr:oneCellAnchor>
  <xdr:oneCellAnchor>
    <xdr:from>
      <xdr:col>1</xdr:col>
      <xdr:colOff>0</xdr:colOff>
      <xdr:row>313</xdr:row>
      <xdr:rowOff>161925</xdr:rowOff>
    </xdr:from>
    <xdr:ext cx="396000" cy="396000"/>
    <xdr:pic>
      <xdr:nvPicPr>
        <xdr:cNvPr id="35" name="Picture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28794075"/>
          <a:ext cx="396000" cy="396000"/>
        </a:xfrm>
        <a:prstGeom prst="rect">
          <a:avLst/>
        </a:prstGeom>
      </xdr:spPr>
    </xdr:pic>
    <xdr:clientData/>
  </xdr:oneCellAnchor>
  <xdr:oneCellAnchor>
    <xdr:from>
      <xdr:col>1</xdr:col>
      <xdr:colOff>9525</xdr:colOff>
      <xdr:row>319</xdr:row>
      <xdr:rowOff>95250</xdr:rowOff>
    </xdr:from>
    <xdr:ext cx="396000" cy="396000"/>
    <xdr:pic>
      <xdr:nvPicPr>
        <xdr:cNvPr id="36" name="Picture 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30013275"/>
          <a:ext cx="396000" cy="396000"/>
        </a:xfrm>
        <a:prstGeom prst="rect">
          <a:avLst/>
        </a:prstGeom>
      </xdr:spPr>
    </xdr:pic>
    <xdr:clientData/>
  </xdr:oneCellAnchor>
  <xdr:oneCellAnchor>
    <xdr:from>
      <xdr:col>1</xdr:col>
      <xdr:colOff>9525</xdr:colOff>
      <xdr:row>348</xdr:row>
      <xdr:rowOff>123825</xdr:rowOff>
    </xdr:from>
    <xdr:ext cx="360000" cy="360000"/>
    <xdr:pic>
      <xdr:nvPicPr>
        <xdr:cNvPr id="37" name="Picture 3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36385500"/>
          <a:ext cx="360000" cy="360000"/>
        </a:xfrm>
        <a:prstGeom prst="rect">
          <a:avLst/>
        </a:prstGeom>
      </xdr:spPr>
    </xdr:pic>
    <xdr:clientData/>
  </xdr:oneCellAnchor>
  <xdr:oneCellAnchor>
    <xdr:from>
      <xdr:col>1</xdr:col>
      <xdr:colOff>9525</xdr:colOff>
      <xdr:row>372</xdr:row>
      <xdr:rowOff>95250</xdr:rowOff>
    </xdr:from>
    <xdr:ext cx="396000" cy="396000"/>
    <xdr:pic>
      <xdr:nvPicPr>
        <xdr:cNvPr id="39" name="Picture 3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41900475"/>
          <a:ext cx="396000" cy="396000"/>
        </a:xfrm>
        <a:prstGeom prst="rect">
          <a:avLst/>
        </a:prstGeom>
      </xdr:spPr>
    </xdr:pic>
    <xdr:clientData/>
  </xdr:oneCellAnchor>
  <xdr:oneCellAnchor>
    <xdr:from>
      <xdr:col>1</xdr:col>
      <xdr:colOff>9525</xdr:colOff>
      <xdr:row>350</xdr:row>
      <xdr:rowOff>123825</xdr:rowOff>
    </xdr:from>
    <xdr:ext cx="360000" cy="360000"/>
    <xdr:pic>
      <xdr:nvPicPr>
        <xdr:cNvPr id="40" name="Picture 3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36766500"/>
          <a:ext cx="360000" cy="360000"/>
        </a:xfrm>
        <a:prstGeom prst="rect">
          <a:avLst/>
        </a:prstGeom>
      </xdr:spPr>
    </xdr:pic>
    <xdr:clientData/>
  </xdr:oneCellAnchor>
  <xdr:twoCellAnchor>
    <xdr:from>
      <xdr:col>8</xdr:col>
      <xdr:colOff>476250</xdr:colOff>
      <xdr:row>1</xdr:row>
      <xdr:rowOff>95250</xdr:rowOff>
    </xdr:from>
    <xdr:to>
      <xdr:col>8</xdr:col>
      <xdr:colOff>923925</xdr:colOff>
      <xdr:row>3</xdr:row>
      <xdr:rowOff>66675</xdr:rowOff>
    </xdr:to>
    <xdr:sp macro="" textlink="">
      <xdr:nvSpPr>
        <xdr:cNvPr id="5" name="Up Arrow 4">
          <a:hlinkClick xmlns:r="http://schemas.openxmlformats.org/officeDocument/2006/relationships" r:id="rId17" tooltip="Back to top"/>
        </xdr:cNvPr>
        <xdr:cNvSpPr/>
      </xdr:nvSpPr>
      <xdr:spPr>
        <a:xfrm>
          <a:off x="989647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295275</xdr:colOff>
      <xdr:row>252</xdr:row>
      <xdr:rowOff>171450</xdr:rowOff>
    </xdr:from>
    <xdr:ext cx="396000" cy="396000"/>
    <xdr:pic>
      <xdr:nvPicPr>
        <xdr:cNvPr id="38" name="Picture 3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5275" y="50358675"/>
          <a:ext cx="396000" cy="396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333373</xdr:colOff>
      <xdr:row>1</xdr:row>
      <xdr:rowOff>104775</xdr:rowOff>
    </xdr:from>
    <xdr:to>
      <xdr:col>2</xdr:col>
      <xdr:colOff>912223</xdr:colOff>
      <xdr:row>3</xdr:row>
      <xdr:rowOff>47775</xdr:rowOff>
    </xdr:to>
    <xdr:sp macro="" textlink="">
      <xdr:nvSpPr>
        <xdr:cNvPr id="11" name="Rectangle à coins arrondis 2">
          <a:hlinkClick xmlns:r="http://schemas.openxmlformats.org/officeDocument/2006/relationships" r:id="rId1" tooltip="Back to Water"/>
        </xdr:cNvPr>
        <xdr:cNvSpPr>
          <a:spLocks noChangeArrowheads="1"/>
        </xdr:cNvSpPr>
      </xdr:nvSpPr>
      <xdr:spPr bwMode="auto">
        <a:xfrm>
          <a:off x="333373" y="400050"/>
          <a:ext cx="216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1219199</xdr:colOff>
      <xdr:row>1</xdr:row>
      <xdr:rowOff>104775</xdr:rowOff>
    </xdr:from>
    <xdr:to>
      <xdr:col>5</xdr:col>
      <xdr:colOff>140699</xdr:colOff>
      <xdr:row>3</xdr:row>
      <xdr:rowOff>47775</xdr:rowOff>
    </xdr:to>
    <xdr:sp macro="" textlink="">
      <xdr:nvSpPr>
        <xdr:cNvPr id="12" name="Rectangle à coins arrondis 11">
          <a:hlinkClick xmlns:r="http://schemas.openxmlformats.org/officeDocument/2006/relationships" r:id="rId2" tooltip="Scorecard"/>
        </xdr:cNvPr>
        <xdr:cNvSpPr>
          <a:spLocks noChangeArrowheads="1"/>
        </xdr:cNvSpPr>
      </xdr:nvSpPr>
      <xdr:spPr bwMode="auto">
        <a:xfrm>
          <a:off x="2800349"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19050</xdr:colOff>
      <xdr:row>23</xdr:row>
      <xdr:rowOff>57150</xdr:rowOff>
    </xdr:from>
    <xdr:ext cx="396000" cy="396000"/>
    <xdr:pic>
      <xdr:nvPicPr>
        <xdr:cNvPr id="15" name="Pictur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4962525"/>
          <a:ext cx="396000" cy="396000"/>
        </a:xfrm>
        <a:prstGeom prst="rect">
          <a:avLst/>
        </a:prstGeom>
      </xdr:spPr>
    </xdr:pic>
    <xdr:clientData/>
  </xdr:oneCellAnchor>
  <xdr:twoCellAnchor editAs="oneCell">
    <xdr:from>
      <xdr:col>1</xdr:col>
      <xdr:colOff>57150</xdr:colOff>
      <xdr:row>16</xdr:row>
      <xdr:rowOff>123825</xdr:rowOff>
    </xdr:from>
    <xdr:to>
      <xdr:col>1</xdr:col>
      <xdr:colOff>597150</xdr:colOff>
      <xdr:row>19</xdr:row>
      <xdr:rowOff>92325</xdr:rowOff>
    </xdr:to>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3562350"/>
          <a:ext cx="540000" cy="540000"/>
        </a:xfrm>
        <a:prstGeom prst="rect">
          <a:avLst/>
        </a:prstGeom>
      </xdr:spPr>
    </xdr:pic>
    <xdr:clientData/>
  </xdr:twoCellAnchor>
  <xdr:twoCellAnchor>
    <xdr:from>
      <xdr:col>7</xdr:col>
      <xdr:colOff>1428750</xdr:colOff>
      <xdr:row>1</xdr:row>
      <xdr:rowOff>95250</xdr:rowOff>
    </xdr:from>
    <xdr:to>
      <xdr:col>8</xdr:col>
      <xdr:colOff>361950</xdr:colOff>
      <xdr:row>3</xdr:row>
      <xdr:rowOff>66675</xdr:rowOff>
    </xdr:to>
    <xdr:sp macro="" textlink="">
      <xdr:nvSpPr>
        <xdr:cNvPr id="14" name="Up Arrow 13">
          <a:hlinkClick xmlns:r="http://schemas.openxmlformats.org/officeDocument/2006/relationships" r:id="rId5" tooltip="Back to top"/>
        </xdr:cNvPr>
        <xdr:cNvSpPr/>
      </xdr:nvSpPr>
      <xdr:spPr>
        <a:xfrm>
          <a:off x="9105900"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137583</xdr:colOff>
      <xdr:row>0</xdr:row>
      <xdr:rowOff>84665</xdr:rowOff>
    </xdr:from>
    <xdr:to>
      <xdr:col>11</xdr:col>
      <xdr:colOff>173608</xdr:colOff>
      <xdr:row>2</xdr:row>
      <xdr:rowOff>222665</xdr:rowOff>
    </xdr:to>
    <xdr:pic>
      <xdr:nvPicPr>
        <xdr:cNvPr id="4" name="Image 2" descr="Materials.png"/>
        <xdr:cNvPicPr>
          <a:picLocks noChangeAspect="1"/>
        </xdr:cNvPicPr>
      </xdr:nvPicPr>
      <xdr:blipFill>
        <a:blip xmlns:r="http://schemas.openxmlformats.org/officeDocument/2006/relationships" r:embed="rId1" cstate="print"/>
        <a:srcRect/>
        <a:stretch>
          <a:fillRect/>
        </a:stretch>
      </xdr:blipFill>
      <xdr:spPr bwMode="auto">
        <a:xfrm>
          <a:off x="9535583" y="84665"/>
          <a:ext cx="882692" cy="900000"/>
        </a:xfrm>
        <a:prstGeom prst="rect">
          <a:avLst/>
        </a:prstGeom>
        <a:noFill/>
        <a:ln w="9525">
          <a:noFill/>
          <a:miter lim="800000"/>
          <a:headEnd/>
          <a:tailEnd/>
        </a:ln>
      </xdr:spPr>
    </xdr:pic>
    <xdr:clientData/>
  </xdr:twoCellAnchor>
  <xdr:twoCellAnchor>
    <xdr:from>
      <xdr:col>1</xdr:col>
      <xdr:colOff>10581</xdr:colOff>
      <xdr:row>11</xdr:row>
      <xdr:rowOff>0</xdr:rowOff>
    </xdr:from>
    <xdr:to>
      <xdr:col>1</xdr:col>
      <xdr:colOff>1990581</xdr:colOff>
      <xdr:row>13</xdr:row>
      <xdr:rowOff>14999</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91581" y="3503083"/>
          <a:ext cx="1980000" cy="3959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419101</xdr:colOff>
      <xdr:row>0</xdr:row>
      <xdr:rowOff>38100</xdr:rowOff>
    </xdr:from>
    <xdr:to>
      <xdr:col>16</xdr:col>
      <xdr:colOff>459901</xdr:colOff>
      <xdr:row>0</xdr:row>
      <xdr:rowOff>326100</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87915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5F4970"/>
              </a:solidFill>
              <a:latin typeface="Arial" pitchFamily="34" charset="0"/>
              <a:cs typeface="Arial" pitchFamily="34" charset="0"/>
            </a:rPr>
            <a:t>Scorecard</a:t>
          </a:r>
        </a:p>
      </xdr:txBody>
    </xdr:sp>
    <xdr:clientData/>
  </xdr:twoCellAnchor>
  <xdr:twoCellAnchor>
    <xdr:from>
      <xdr:col>11</xdr:col>
      <xdr:colOff>504825</xdr:colOff>
      <xdr:row>0</xdr:row>
      <xdr:rowOff>38100</xdr:rowOff>
    </xdr:from>
    <xdr:to>
      <xdr:col>14</xdr:col>
      <xdr:colOff>265699</xdr:colOff>
      <xdr:row>0</xdr:row>
      <xdr:rowOff>326100</xdr:rowOff>
    </xdr:to>
    <xdr:sp macro="" textlink="">
      <xdr:nvSpPr>
        <xdr:cNvPr id="3" name="Rectangle à coins arrondis 2">
          <a:hlinkClick xmlns:r="http://schemas.openxmlformats.org/officeDocument/2006/relationships" r:id="rId2" tooltip="Materials Category"/>
        </xdr:cNvPr>
        <xdr:cNvSpPr>
          <a:spLocks noChangeArrowheads="1"/>
        </xdr:cNvSpPr>
      </xdr:nvSpPr>
      <xdr:spPr bwMode="auto">
        <a:xfrm>
          <a:off x="7048500" y="38100"/>
          <a:ext cx="1589674"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5F4970"/>
              </a:solidFill>
              <a:latin typeface="Arial" panose="020B0604020202020204" pitchFamily="34" charset="0"/>
              <a:cs typeface="Arial" panose="020B0604020202020204" pitchFamily="34" charset="0"/>
            </a:rPr>
            <a:t>Materials Category</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1076325</xdr:colOff>
      <xdr:row>1</xdr:row>
      <xdr:rowOff>133350</xdr:rowOff>
    </xdr:from>
    <xdr:to>
      <xdr:col>3</xdr:col>
      <xdr:colOff>1798050</xdr:colOff>
      <xdr:row>3</xdr:row>
      <xdr:rowOff>76350</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29337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285750</xdr:colOff>
      <xdr:row>1</xdr:row>
      <xdr:rowOff>133350</xdr:rowOff>
    </xdr:from>
    <xdr:to>
      <xdr:col>2</xdr:col>
      <xdr:colOff>588375</xdr:colOff>
      <xdr:row>3</xdr:row>
      <xdr:rowOff>76350</xdr:rowOff>
    </xdr:to>
    <xdr:sp macro="" textlink="">
      <xdr:nvSpPr>
        <xdr:cNvPr id="4" name="Rectangle à coins arrondis 3">
          <a:hlinkClick xmlns:r="http://schemas.openxmlformats.org/officeDocument/2006/relationships" r:id="rId2" tooltip="Back to Materials"/>
        </xdr:cNvPr>
        <xdr:cNvSpPr>
          <a:spLocks noChangeArrowheads="1"/>
        </xdr:cNvSpPr>
      </xdr:nvSpPr>
      <xdr:spPr bwMode="auto">
        <a:xfrm>
          <a:off x="285750"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66675</xdr:colOff>
      <xdr:row>67</xdr:row>
      <xdr:rowOff>66675</xdr:rowOff>
    </xdr:from>
    <xdr:to>
      <xdr:col>1</xdr:col>
      <xdr:colOff>498675</xdr:colOff>
      <xdr:row>69</xdr:row>
      <xdr:rowOff>117675</xdr:rowOff>
    </xdr:to>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4220825"/>
          <a:ext cx="432000" cy="432000"/>
        </a:xfrm>
        <a:prstGeom prst="rect">
          <a:avLst/>
        </a:prstGeom>
      </xdr:spPr>
    </xdr:pic>
    <xdr:clientData/>
  </xdr:twoCellAnchor>
  <xdr:twoCellAnchor editAs="oneCell">
    <xdr:from>
      <xdr:col>1</xdr:col>
      <xdr:colOff>28575</xdr:colOff>
      <xdr:row>47</xdr:row>
      <xdr:rowOff>57150</xdr:rowOff>
    </xdr:from>
    <xdr:to>
      <xdr:col>1</xdr:col>
      <xdr:colOff>496575</xdr:colOff>
      <xdr:row>49</xdr:row>
      <xdr:rowOff>144150</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9753600"/>
          <a:ext cx="468000" cy="468000"/>
        </a:xfrm>
        <a:prstGeom prst="rect">
          <a:avLst/>
        </a:prstGeom>
      </xdr:spPr>
    </xdr:pic>
    <xdr:clientData/>
  </xdr:twoCellAnchor>
  <xdr:twoCellAnchor>
    <xdr:from>
      <xdr:col>7</xdr:col>
      <xdr:colOff>781050</xdr:colOff>
      <xdr:row>1</xdr:row>
      <xdr:rowOff>114300</xdr:rowOff>
    </xdr:from>
    <xdr:to>
      <xdr:col>8</xdr:col>
      <xdr:colOff>47625</xdr:colOff>
      <xdr:row>3</xdr:row>
      <xdr:rowOff>85725</xdr:rowOff>
    </xdr:to>
    <xdr:sp macro="" textlink="">
      <xdr:nvSpPr>
        <xdr:cNvPr id="13" name="Up Arrow 12">
          <a:hlinkClick xmlns:r="http://schemas.openxmlformats.org/officeDocument/2006/relationships" r:id="rId5" tooltip="Back to top"/>
        </xdr:cNvPr>
        <xdr:cNvSpPr/>
      </xdr:nvSpPr>
      <xdr:spPr>
        <a:xfrm>
          <a:off x="9544050" y="438150"/>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352425</xdr:colOff>
      <xdr:row>14</xdr:row>
      <xdr:rowOff>76200</xdr:rowOff>
    </xdr:from>
    <xdr:to>
      <xdr:col>1</xdr:col>
      <xdr:colOff>432000</xdr:colOff>
      <xdr:row>16</xdr:row>
      <xdr:rowOff>127200</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325" y="3409950"/>
          <a:ext cx="432000" cy="432000"/>
        </a:xfrm>
        <a:prstGeom prst="rect">
          <a:avLst/>
        </a:prstGeom>
      </xdr:spPr>
    </xdr:pic>
    <xdr:clientData/>
  </xdr:twoCellAnchor>
  <xdr:twoCellAnchor editAs="oneCell">
    <xdr:from>
      <xdr:col>1</xdr:col>
      <xdr:colOff>0</xdr:colOff>
      <xdr:row>17</xdr:row>
      <xdr:rowOff>0</xdr:rowOff>
    </xdr:from>
    <xdr:to>
      <xdr:col>1</xdr:col>
      <xdr:colOff>432000</xdr:colOff>
      <xdr:row>19</xdr:row>
      <xdr:rowOff>51000</xdr:rowOff>
    </xdr:to>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905250"/>
          <a:ext cx="432000" cy="432000"/>
        </a:xfrm>
        <a:prstGeom prst="rect">
          <a:avLst/>
        </a:prstGeom>
      </xdr:spPr>
    </xdr:pic>
    <xdr:clientData/>
  </xdr:twoCellAnchor>
  <xdr:twoCellAnchor editAs="oneCell">
    <xdr:from>
      <xdr:col>1</xdr:col>
      <xdr:colOff>0</xdr:colOff>
      <xdr:row>26</xdr:row>
      <xdr:rowOff>9525</xdr:rowOff>
    </xdr:from>
    <xdr:to>
      <xdr:col>1</xdr:col>
      <xdr:colOff>432000</xdr:colOff>
      <xdr:row>28</xdr:row>
      <xdr:rowOff>60525</xdr:rowOff>
    </xdr:to>
    <xdr:pic>
      <xdr:nvPicPr>
        <xdr:cNvPr id="16" name="Picture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5629275"/>
          <a:ext cx="432000" cy="432000"/>
        </a:xfrm>
        <a:prstGeom prst="rect">
          <a:avLst/>
        </a:prstGeom>
      </xdr:spPr>
    </xdr:pic>
    <xdr:clientData/>
  </xdr:twoCellAnchor>
  <xdr:twoCellAnchor editAs="oneCell">
    <xdr:from>
      <xdr:col>1</xdr:col>
      <xdr:colOff>38100</xdr:colOff>
      <xdr:row>34</xdr:row>
      <xdr:rowOff>114300</xdr:rowOff>
    </xdr:from>
    <xdr:to>
      <xdr:col>1</xdr:col>
      <xdr:colOff>578100</xdr:colOff>
      <xdr:row>37</xdr:row>
      <xdr:rowOff>82800</xdr:rowOff>
    </xdr:to>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7258050"/>
          <a:ext cx="540000" cy="540000"/>
        </a:xfrm>
        <a:prstGeom prst="rect">
          <a:avLst/>
        </a:prstGeom>
      </xdr:spPr>
    </xdr:pic>
    <xdr:clientData/>
  </xdr:twoCellAnchor>
  <xdr:twoCellAnchor>
    <xdr:from>
      <xdr:col>6</xdr:col>
      <xdr:colOff>419100</xdr:colOff>
      <xdr:row>1</xdr:row>
      <xdr:rowOff>142875</xdr:rowOff>
    </xdr:from>
    <xdr:to>
      <xdr:col>7</xdr:col>
      <xdr:colOff>354000</xdr:colOff>
      <xdr:row>3</xdr:row>
      <xdr:rowOff>49875</xdr:rowOff>
    </xdr:to>
    <xdr:sp macro="" textlink="">
      <xdr:nvSpPr>
        <xdr:cNvPr id="19" name="Rectangle à coins arrondis 2">
          <a:hlinkClick xmlns:r="http://schemas.openxmlformats.org/officeDocument/2006/relationships" r:id="rId7" tooltip="Glossary of Materials Category"/>
        </xdr:cNvPr>
        <xdr:cNvSpPr>
          <a:spLocks noChangeArrowheads="1"/>
        </xdr:cNvSpPr>
      </xdr:nvSpPr>
      <xdr:spPr bwMode="auto">
        <a:xfrm>
          <a:off x="8001000" y="466725"/>
          <a:ext cx="1116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1085850</xdr:colOff>
      <xdr:row>1</xdr:row>
      <xdr:rowOff>123825</xdr:rowOff>
    </xdr:from>
    <xdr:to>
      <xdr:col>3</xdr:col>
      <xdr:colOff>1807575</xdr:colOff>
      <xdr:row>3</xdr:row>
      <xdr:rowOff>66825</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2943225"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285750</xdr:colOff>
      <xdr:row>1</xdr:row>
      <xdr:rowOff>123825</xdr:rowOff>
    </xdr:from>
    <xdr:to>
      <xdr:col>2</xdr:col>
      <xdr:colOff>588375</xdr:colOff>
      <xdr:row>3</xdr:row>
      <xdr:rowOff>66825</xdr:rowOff>
    </xdr:to>
    <xdr:sp macro="" textlink="">
      <xdr:nvSpPr>
        <xdr:cNvPr id="3" name="Rectangle à coins arrondis 3">
          <a:hlinkClick xmlns:r="http://schemas.openxmlformats.org/officeDocument/2006/relationships" r:id="rId2" tooltip="Back to Materials"/>
        </xdr:cNvPr>
        <xdr:cNvSpPr>
          <a:spLocks noChangeArrowheads="1"/>
        </xdr:cNvSpPr>
      </xdr:nvSpPr>
      <xdr:spPr bwMode="auto">
        <a:xfrm>
          <a:off x="285750" y="447675"/>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47625</xdr:colOff>
      <xdr:row>56</xdr:row>
      <xdr:rowOff>123825</xdr:rowOff>
    </xdr:from>
    <xdr:to>
      <xdr:col>1</xdr:col>
      <xdr:colOff>479625</xdr:colOff>
      <xdr:row>58</xdr:row>
      <xdr:rowOff>117675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11430000"/>
          <a:ext cx="432000" cy="432000"/>
        </a:xfrm>
        <a:prstGeom prst="rect">
          <a:avLst/>
        </a:prstGeom>
      </xdr:spPr>
    </xdr:pic>
    <xdr:clientData/>
  </xdr:twoCellAnchor>
  <xdr:twoCellAnchor editAs="oneCell">
    <xdr:from>
      <xdr:col>1</xdr:col>
      <xdr:colOff>9525</xdr:colOff>
      <xdr:row>39</xdr:row>
      <xdr:rowOff>57150</xdr:rowOff>
    </xdr:from>
    <xdr:to>
      <xdr:col>1</xdr:col>
      <xdr:colOff>477525</xdr:colOff>
      <xdr:row>41</xdr:row>
      <xdr:rowOff>144150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850" y="8734425"/>
          <a:ext cx="468000" cy="468000"/>
        </a:xfrm>
        <a:prstGeom prst="rect">
          <a:avLst/>
        </a:prstGeom>
      </xdr:spPr>
    </xdr:pic>
    <xdr:clientData/>
  </xdr:twoCellAnchor>
  <xdr:twoCellAnchor>
    <xdr:from>
      <xdr:col>7</xdr:col>
      <xdr:colOff>800100</xdr:colOff>
      <xdr:row>1</xdr:row>
      <xdr:rowOff>114300</xdr:rowOff>
    </xdr:from>
    <xdr:to>
      <xdr:col>8</xdr:col>
      <xdr:colOff>66675</xdr:colOff>
      <xdr:row>3</xdr:row>
      <xdr:rowOff>85725</xdr:rowOff>
    </xdr:to>
    <xdr:sp macro="" textlink="">
      <xdr:nvSpPr>
        <xdr:cNvPr id="10" name="Up Arrow 9">
          <a:hlinkClick xmlns:r="http://schemas.openxmlformats.org/officeDocument/2006/relationships" r:id="rId5" tooltip="Back to top"/>
        </xdr:cNvPr>
        <xdr:cNvSpPr/>
      </xdr:nvSpPr>
      <xdr:spPr>
        <a:xfrm>
          <a:off x="9601200" y="438150"/>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514350</xdr:colOff>
      <xdr:row>1</xdr:row>
      <xdr:rowOff>152400</xdr:rowOff>
    </xdr:from>
    <xdr:to>
      <xdr:col>7</xdr:col>
      <xdr:colOff>449250</xdr:colOff>
      <xdr:row>3</xdr:row>
      <xdr:rowOff>59400</xdr:rowOff>
    </xdr:to>
    <xdr:sp macro="" textlink="">
      <xdr:nvSpPr>
        <xdr:cNvPr id="12" name="Rectangle à coins arrondis 2">
          <a:hlinkClick xmlns:r="http://schemas.openxmlformats.org/officeDocument/2006/relationships" r:id="rId6" tooltip="Glossary of Materials Category"/>
        </xdr:cNvPr>
        <xdr:cNvSpPr>
          <a:spLocks noChangeArrowheads="1"/>
        </xdr:cNvSpPr>
      </xdr:nvSpPr>
      <xdr:spPr bwMode="auto">
        <a:xfrm>
          <a:off x="8134350" y="476250"/>
          <a:ext cx="1116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editAs="oneCell">
    <xdr:from>
      <xdr:col>0</xdr:col>
      <xdr:colOff>304800</xdr:colOff>
      <xdr:row>14</xdr:row>
      <xdr:rowOff>85725</xdr:rowOff>
    </xdr:from>
    <xdr:to>
      <xdr:col>1</xdr:col>
      <xdr:colOff>422475</xdr:colOff>
      <xdr:row>16</xdr:row>
      <xdr:rowOff>136725</xdr:rowOff>
    </xdr:to>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3400425"/>
          <a:ext cx="432000" cy="432000"/>
        </a:xfrm>
        <a:prstGeom prst="rect">
          <a:avLst/>
        </a:prstGeom>
      </xdr:spPr>
    </xdr:pic>
    <xdr:clientData/>
  </xdr:twoCellAnchor>
  <xdr:twoCellAnchor editAs="oneCell">
    <xdr:from>
      <xdr:col>1</xdr:col>
      <xdr:colOff>57150</xdr:colOff>
      <xdr:row>26</xdr:row>
      <xdr:rowOff>161925</xdr:rowOff>
    </xdr:from>
    <xdr:to>
      <xdr:col>1</xdr:col>
      <xdr:colOff>666756</xdr:colOff>
      <xdr:row>30</xdr:row>
      <xdr:rowOff>47925</xdr:rowOff>
    </xdr:to>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5724525"/>
          <a:ext cx="657231" cy="648000"/>
        </a:xfrm>
        <a:prstGeom prst="rect">
          <a:avLst/>
        </a:prstGeom>
      </xdr:spPr>
    </xdr:pic>
    <xdr:clientData/>
  </xdr:twoCellAnchor>
  <xdr:twoCellAnchor editAs="oneCell">
    <xdr:from>
      <xdr:col>1</xdr:col>
      <xdr:colOff>0</xdr:colOff>
      <xdr:row>17</xdr:row>
      <xdr:rowOff>0</xdr:rowOff>
    </xdr:from>
    <xdr:to>
      <xdr:col>1</xdr:col>
      <xdr:colOff>432000</xdr:colOff>
      <xdr:row>19</xdr:row>
      <xdr:rowOff>51000</xdr:rowOff>
    </xdr:to>
    <xdr:pic>
      <xdr:nvPicPr>
        <xdr:cNvPr id="19" name="Picture 1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886200"/>
          <a:ext cx="432000" cy="43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328083</xdr:colOff>
      <xdr:row>12</xdr:row>
      <xdr:rowOff>21166</xdr:rowOff>
    </xdr:from>
    <xdr:to>
      <xdr:col>1</xdr:col>
      <xdr:colOff>1927083</xdr:colOff>
      <xdr:row>14</xdr:row>
      <xdr:rowOff>166</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328083" y="3185583"/>
          <a:ext cx="1980000"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95248</xdr:colOff>
      <xdr:row>0</xdr:row>
      <xdr:rowOff>116415</xdr:rowOff>
    </xdr:from>
    <xdr:to>
      <xdr:col>11</xdr:col>
      <xdr:colOff>148581</xdr:colOff>
      <xdr:row>3</xdr:row>
      <xdr:rowOff>10998</xdr:rowOff>
    </xdr:to>
    <xdr:pic>
      <xdr:nvPicPr>
        <xdr:cNvPr id="6" name="Image 2" descr="WP.png"/>
        <xdr:cNvPicPr>
          <a:picLocks noChangeAspect="1"/>
        </xdr:cNvPicPr>
      </xdr:nvPicPr>
      <xdr:blipFill>
        <a:blip xmlns:r="http://schemas.openxmlformats.org/officeDocument/2006/relationships" r:embed="rId2" cstate="print"/>
        <a:stretch>
          <a:fillRect/>
        </a:stretch>
      </xdr:blipFill>
      <xdr:spPr bwMode="auto">
        <a:xfrm>
          <a:off x="10329331" y="116415"/>
          <a:ext cx="900000" cy="9000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352425</xdr:colOff>
      <xdr:row>1</xdr:row>
      <xdr:rowOff>114300</xdr:rowOff>
    </xdr:from>
    <xdr:to>
      <xdr:col>2</xdr:col>
      <xdr:colOff>1073175</xdr:colOff>
      <xdr:row>3</xdr:row>
      <xdr:rowOff>57300</xdr:rowOff>
    </xdr:to>
    <xdr:sp macro="" textlink="">
      <xdr:nvSpPr>
        <xdr:cNvPr id="2" name="Rectangle à coins arrondis 3">
          <a:hlinkClick xmlns:r="http://schemas.openxmlformats.org/officeDocument/2006/relationships" r:id="rId1" tooltip="Back to Waste &amp; Pollution"/>
        </xdr:cNvPr>
        <xdr:cNvSpPr>
          <a:spLocks noChangeArrowheads="1"/>
        </xdr:cNvSpPr>
      </xdr:nvSpPr>
      <xdr:spPr bwMode="auto">
        <a:xfrm>
          <a:off x="352425" y="419100"/>
          <a:ext cx="2340000" cy="324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Waste &amp; Pollution</a:t>
          </a:r>
        </a:p>
      </xdr:txBody>
    </xdr:sp>
    <xdr:clientData/>
  </xdr:twoCellAnchor>
  <xdr:twoCellAnchor>
    <xdr:from>
      <xdr:col>3</xdr:col>
      <xdr:colOff>457197</xdr:colOff>
      <xdr:row>1</xdr:row>
      <xdr:rowOff>123825</xdr:rowOff>
    </xdr:from>
    <xdr:to>
      <xdr:col>5</xdr:col>
      <xdr:colOff>255972</xdr:colOff>
      <xdr:row>3</xdr:row>
      <xdr:rowOff>66825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295647" y="42862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390525</xdr:colOff>
      <xdr:row>5</xdr:row>
      <xdr:rowOff>104775</xdr:rowOff>
    </xdr:from>
    <xdr:to>
      <xdr:col>6</xdr:col>
      <xdr:colOff>421800</xdr:colOff>
      <xdr:row>6</xdr:row>
      <xdr:rowOff>147225</xdr:rowOff>
    </xdr:to>
    <xdr:sp macro="" textlink="">
      <xdr:nvSpPr>
        <xdr:cNvPr id="10" name="Rectangle à coins arrondis 2">
          <a:hlinkClick xmlns:r="http://schemas.openxmlformats.org/officeDocument/2006/relationships" r:id="rId3" tooltip="Option A"/>
        </xdr:cNvPr>
        <xdr:cNvSpPr>
          <a:spLocks noChangeArrowheads="1"/>
        </xdr:cNvSpPr>
      </xdr:nvSpPr>
      <xdr:spPr bwMode="auto">
        <a:xfrm>
          <a:off x="5419725" y="1209675"/>
          <a:ext cx="1079025"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6</xdr:col>
      <xdr:colOff>647700</xdr:colOff>
      <xdr:row>5</xdr:row>
      <xdr:rowOff>104775</xdr:rowOff>
    </xdr:from>
    <xdr:to>
      <xdr:col>7</xdr:col>
      <xdr:colOff>613275</xdr:colOff>
      <xdr:row>6</xdr:row>
      <xdr:rowOff>147225</xdr:rowOff>
    </xdr:to>
    <xdr:sp macro="" textlink="">
      <xdr:nvSpPr>
        <xdr:cNvPr id="11" name="Rectangle à coins arrondis 2">
          <a:hlinkClick xmlns:r="http://schemas.openxmlformats.org/officeDocument/2006/relationships" r:id="rId4" tooltip="Option B"/>
        </xdr:cNvPr>
        <xdr:cNvSpPr>
          <a:spLocks noChangeArrowheads="1"/>
        </xdr:cNvSpPr>
      </xdr:nvSpPr>
      <xdr:spPr bwMode="auto">
        <a:xfrm>
          <a:off x="6715125" y="1209675"/>
          <a:ext cx="1080000" cy="271050"/>
        </a:xfrm>
        <a:prstGeom prst="roundRect">
          <a:avLst>
            <a:gd name="adj" fmla="val 16667"/>
          </a:avLst>
        </a:prstGeom>
        <a:solidFill>
          <a:schemeClr val="bg1">
            <a:lumMod val="95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4</xdr:col>
      <xdr:colOff>971549</xdr:colOff>
      <xdr:row>5</xdr:row>
      <xdr:rowOff>114300</xdr:rowOff>
    </xdr:from>
    <xdr:to>
      <xdr:col>5</xdr:col>
      <xdr:colOff>283799</xdr:colOff>
      <xdr:row>6</xdr:row>
      <xdr:rowOff>156750</xdr:rowOff>
    </xdr:to>
    <xdr:sp macro="" textlink="">
      <xdr:nvSpPr>
        <xdr:cNvPr id="12" name="Flèche droite 6"/>
        <xdr:cNvSpPr/>
      </xdr:nvSpPr>
      <xdr:spPr>
        <a:xfrm>
          <a:off x="4952999" y="1219200"/>
          <a:ext cx="360000" cy="271050"/>
        </a:xfrm>
        <a:prstGeom prst="rightArrow">
          <a:avLst/>
        </a:prstGeom>
        <a:solidFill>
          <a:srgbClr val="4A562A"/>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9</xdr:col>
      <xdr:colOff>323850</xdr:colOff>
      <xdr:row>80</xdr:row>
      <xdr:rowOff>66675</xdr:rowOff>
    </xdr:from>
    <xdr:to>
      <xdr:col>11</xdr:col>
      <xdr:colOff>209550</xdr:colOff>
      <xdr:row>83</xdr:row>
      <xdr:rowOff>58425</xdr:rowOff>
    </xdr:to>
    <xdr:sp macro="" textlink="">
      <xdr:nvSpPr>
        <xdr:cNvPr id="22" name="Rectangle à coins arrondis 2">
          <a:hlinkClick xmlns:r="http://schemas.openxmlformats.org/officeDocument/2006/relationships" r:id="rId5" tooltip="Resources"/>
        </xdr:cNvPr>
        <xdr:cNvSpPr>
          <a:spLocks noChangeArrowheads="1"/>
        </xdr:cNvSpPr>
      </xdr:nvSpPr>
      <xdr:spPr bwMode="auto">
        <a:xfrm>
          <a:off x="9639300" y="12773025"/>
          <a:ext cx="2047875"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Equipment Life</a:t>
          </a:r>
        </a:p>
      </xdr:txBody>
    </xdr:sp>
    <xdr:clientData/>
  </xdr:twoCellAnchor>
  <xdr:twoCellAnchor>
    <xdr:from>
      <xdr:col>7</xdr:col>
      <xdr:colOff>885825</xdr:colOff>
      <xdr:row>5</xdr:row>
      <xdr:rowOff>104775</xdr:rowOff>
    </xdr:from>
    <xdr:to>
      <xdr:col>8</xdr:col>
      <xdr:colOff>917100</xdr:colOff>
      <xdr:row>6</xdr:row>
      <xdr:rowOff>147225</xdr:rowOff>
    </xdr:to>
    <xdr:sp macro="" textlink="">
      <xdr:nvSpPr>
        <xdr:cNvPr id="23" name="Rectangle à coins arrondis 2">
          <a:hlinkClick xmlns:r="http://schemas.openxmlformats.org/officeDocument/2006/relationships" r:id="rId6" tooltip="Option B"/>
        </xdr:cNvPr>
        <xdr:cNvSpPr>
          <a:spLocks noChangeArrowheads="1"/>
        </xdr:cNvSpPr>
      </xdr:nvSpPr>
      <xdr:spPr bwMode="auto">
        <a:xfrm>
          <a:off x="8067675" y="1209675"/>
          <a:ext cx="1079025"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C</a:t>
          </a:r>
        </a:p>
      </xdr:txBody>
    </xdr:sp>
    <xdr:clientData/>
  </xdr:twoCellAnchor>
  <xdr:twoCellAnchor editAs="oneCell">
    <xdr:from>
      <xdr:col>1</xdr:col>
      <xdr:colOff>38100</xdr:colOff>
      <xdr:row>119</xdr:row>
      <xdr:rowOff>19050</xdr:rowOff>
    </xdr:from>
    <xdr:to>
      <xdr:col>1</xdr:col>
      <xdr:colOff>542100</xdr:colOff>
      <xdr:row>121</xdr:row>
      <xdr:rowOff>142050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21983700"/>
          <a:ext cx="504000" cy="504000"/>
        </a:xfrm>
        <a:prstGeom prst="rect">
          <a:avLst/>
        </a:prstGeom>
      </xdr:spPr>
    </xdr:pic>
    <xdr:clientData/>
  </xdr:twoCellAnchor>
  <xdr:oneCellAnchor>
    <xdr:from>
      <xdr:col>1</xdr:col>
      <xdr:colOff>85725</xdr:colOff>
      <xdr:row>63</xdr:row>
      <xdr:rowOff>180975</xdr:rowOff>
    </xdr:from>
    <xdr:ext cx="396000" cy="396000"/>
    <xdr:pic>
      <xdr:nvPicPr>
        <xdr:cNvPr id="27" name="Picture 2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0" y="11658600"/>
          <a:ext cx="396000" cy="396000"/>
        </a:xfrm>
        <a:prstGeom prst="rect">
          <a:avLst/>
        </a:prstGeom>
      </xdr:spPr>
    </xdr:pic>
    <xdr:clientData/>
  </xdr:oneCellAnchor>
  <xdr:twoCellAnchor editAs="oneCell">
    <xdr:from>
      <xdr:col>1</xdr:col>
      <xdr:colOff>66675</xdr:colOff>
      <xdr:row>69</xdr:row>
      <xdr:rowOff>142875</xdr:rowOff>
    </xdr:from>
    <xdr:to>
      <xdr:col>1</xdr:col>
      <xdr:colOff>570675</xdr:colOff>
      <xdr:row>72</xdr:row>
      <xdr:rowOff>75375</xdr:rowOff>
    </xdr:to>
    <xdr:pic>
      <xdr:nvPicPr>
        <xdr:cNvPr id="13" name="Picture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 y="12677775"/>
          <a:ext cx="504000" cy="504000"/>
        </a:xfrm>
        <a:prstGeom prst="rect">
          <a:avLst/>
        </a:prstGeom>
      </xdr:spPr>
    </xdr:pic>
    <xdr:clientData/>
  </xdr:twoCellAnchor>
  <xdr:twoCellAnchor editAs="oneCell">
    <xdr:from>
      <xdr:col>1</xdr:col>
      <xdr:colOff>38100</xdr:colOff>
      <xdr:row>126</xdr:row>
      <xdr:rowOff>161925</xdr:rowOff>
    </xdr:from>
    <xdr:to>
      <xdr:col>1</xdr:col>
      <xdr:colOff>614100</xdr:colOff>
      <xdr:row>127</xdr:row>
      <xdr:rowOff>356925</xdr:rowOff>
    </xdr:to>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8625" y="23498175"/>
          <a:ext cx="576000" cy="576000"/>
        </a:xfrm>
        <a:prstGeom prst="rect">
          <a:avLst/>
        </a:prstGeom>
      </xdr:spPr>
    </xdr:pic>
    <xdr:clientData/>
  </xdr:twoCellAnchor>
  <xdr:twoCellAnchor editAs="oneCell">
    <xdr:from>
      <xdr:col>1</xdr:col>
      <xdr:colOff>85725</xdr:colOff>
      <xdr:row>61</xdr:row>
      <xdr:rowOff>76200</xdr:rowOff>
    </xdr:from>
    <xdr:to>
      <xdr:col>1</xdr:col>
      <xdr:colOff>481725</xdr:colOff>
      <xdr:row>63</xdr:row>
      <xdr:rowOff>110250</xdr:rowOff>
    </xdr:to>
    <xdr:pic>
      <xdr:nvPicPr>
        <xdr:cNvPr id="25" name="Picture 2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6725" y="13963650"/>
          <a:ext cx="396000" cy="396000"/>
        </a:xfrm>
        <a:prstGeom prst="rect">
          <a:avLst/>
        </a:prstGeom>
      </xdr:spPr>
    </xdr:pic>
    <xdr:clientData/>
  </xdr:twoCellAnchor>
  <xdr:twoCellAnchor editAs="oneCell">
    <xdr:from>
      <xdr:col>1</xdr:col>
      <xdr:colOff>47625</xdr:colOff>
      <xdr:row>29</xdr:row>
      <xdr:rowOff>142875</xdr:rowOff>
    </xdr:from>
    <xdr:to>
      <xdr:col>1</xdr:col>
      <xdr:colOff>479625</xdr:colOff>
      <xdr:row>32</xdr:row>
      <xdr:rowOff>3375</xdr:rowOff>
    </xdr:to>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8625" y="7067550"/>
          <a:ext cx="432000" cy="432000"/>
        </a:xfrm>
        <a:prstGeom prst="rect">
          <a:avLst/>
        </a:prstGeom>
      </xdr:spPr>
    </xdr:pic>
    <xdr:clientData/>
  </xdr:twoCellAnchor>
  <xdr:twoCellAnchor editAs="oneCell">
    <xdr:from>
      <xdr:col>1</xdr:col>
      <xdr:colOff>57150</xdr:colOff>
      <xdr:row>129</xdr:row>
      <xdr:rowOff>133350</xdr:rowOff>
    </xdr:from>
    <xdr:to>
      <xdr:col>1</xdr:col>
      <xdr:colOff>453150</xdr:colOff>
      <xdr:row>131</xdr:row>
      <xdr:rowOff>72150</xdr:rowOff>
    </xdr:to>
    <xdr:pic>
      <xdr:nvPicPr>
        <xdr:cNvPr id="4" name="Picture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150" y="27584400"/>
          <a:ext cx="396000" cy="396000"/>
        </a:xfrm>
        <a:prstGeom prst="rect">
          <a:avLst/>
        </a:prstGeom>
      </xdr:spPr>
    </xdr:pic>
    <xdr:clientData/>
  </xdr:twoCellAnchor>
  <xdr:twoCellAnchor editAs="oneCell">
    <xdr:from>
      <xdr:col>1</xdr:col>
      <xdr:colOff>0</xdr:colOff>
      <xdr:row>75</xdr:row>
      <xdr:rowOff>66675</xdr:rowOff>
    </xdr:from>
    <xdr:to>
      <xdr:col>1</xdr:col>
      <xdr:colOff>396000</xdr:colOff>
      <xdr:row>77</xdr:row>
      <xdr:rowOff>119775</xdr:rowOff>
    </xdr:to>
    <xdr:pic>
      <xdr:nvPicPr>
        <xdr:cNvPr id="28" name="Picture 2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16182975"/>
          <a:ext cx="396000" cy="396000"/>
        </a:xfrm>
        <a:prstGeom prst="rect">
          <a:avLst/>
        </a:prstGeom>
      </xdr:spPr>
    </xdr:pic>
    <xdr:clientData/>
  </xdr:twoCellAnchor>
  <xdr:oneCellAnchor>
    <xdr:from>
      <xdr:col>1</xdr:col>
      <xdr:colOff>0</xdr:colOff>
      <xdr:row>33</xdr:row>
      <xdr:rowOff>66675</xdr:rowOff>
    </xdr:from>
    <xdr:ext cx="396000" cy="396000"/>
    <xdr:pic>
      <xdr:nvPicPr>
        <xdr:cNvPr id="29" name="Picture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8067675"/>
          <a:ext cx="396000" cy="396000"/>
        </a:xfrm>
        <a:prstGeom prst="rect">
          <a:avLst/>
        </a:prstGeom>
      </xdr:spPr>
    </xdr:pic>
    <xdr:clientData/>
  </xdr:oneCellAnchor>
  <xdr:twoCellAnchor>
    <xdr:from>
      <xdr:col>9</xdr:col>
      <xdr:colOff>857250</xdr:colOff>
      <xdr:row>1</xdr:row>
      <xdr:rowOff>95250</xdr:rowOff>
    </xdr:from>
    <xdr:to>
      <xdr:col>10</xdr:col>
      <xdr:colOff>190500</xdr:colOff>
      <xdr:row>3</xdr:row>
      <xdr:rowOff>66675</xdr:rowOff>
    </xdr:to>
    <xdr:sp macro="" textlink="">
      <xdr:nvSpPr>
        <xdr:cNvPr id="19" name="Up Arrow 18">
          <a:hlinkClick xmlns:r="http://schemas.openxmlformats.org/officeDocument/2006/relationships" r:id="rId12" tooltip="Back to top"/>
        </xdr:cNvPr>
        <xdr:cNvSpPr/>
      </xdr:nvSpPr>
      <xdr:spPr>
        <a:xfrm>
          <a:off x="10229850" y="400050"/>
          <a:ext cx="447675" cy="352425"/>
        </a:xfrm>
        <a:prstGeom prst="upArrow">
          <a:avLst/>
        </a:prstGeom>
        <a:solidFill>
          <a:srgbClr val="4A562A"/>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704850</xdr:colOff>
      <xdr:row>1</xdr:row>
      <xdr:rowOff>142875</xdr:rowOff>
    </xdr:from>
    <xdr:to>
      <xdr:col>9</xdr:col>
      <xdr:colOff>677850</xdr:colOff>
      <xdr:row>3</xdr:row>
      <xdr:rowOff>49875</xdr:rowOff>
    </xdr:to>
    <xdr:sp macro="" textlink="">
      <xdr:nvSpPr>
        <xdr:cNvPr id="24" name="Rectangle à coins arrondis 2">
          <a:hlinkClick xmlns:r="http://schemas.openxmlformats.org/officeDocument/2006/relationships" r:id="rId13" tooltip="Glossary of the credit"/>
        </xdr:cNvPr>
        <xdr:cNvSpPr>
          <a:spLocks noChangeArrowheads="1"/>
        </xdr:cNvSpPr>
      </xdr:nvSpPr>
      <xdr:spPr bwMode="auto">
        <a:xfrm>
          <a:off x="8934450" y="447675"/>
          <a:ext cx="1116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editAs="oneCell">
    <xdr:from>
      <xdr:col>1</xdr:col>
      <xdr:colOff>19050</xdr:colOff>
      <xdr:row>20</xdr:row>
      <xdr:rowOff>47625</xdr:rowOff>
    </xdr:from>
    <xdr:to>
      <xdr:col>1</xdr:col>
      <xdr:colOff>531891</xdr:colOff>
      <xdr:row>22</xdr:row>
      <xdr:rowOff>132525</xdr:rowOff>
    </xdr:to>
    <xdr:pic>
      <xdr:nvPicPr>
        <xdr:cNvPr id="31" name="Picture 30"/>
        <xdr:cNvPicPr>
          <a:picLocks noChangeAspect="1"/>
        </xdr:cNvPicPr>
      </xdr:nvPicPr>
      <xdr:blipFill>
        <a:blip xmlns:r="http://schemas.openxmlformats.org/officeDocument/2006/relationships" r:embed="rId14"/>
        <a:stretch>
          <a:fillRect/>
        </a:stretch>
      </xdr:blipFill>
      <xdr:spPr>
        <a:xfrm>
          <a:off x="400050" y="6048375"/>
          <a:ext cx="512841" cy="504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180975</xdr:colOff>
      <xdr:row>1</xdr:row>
      <xdr:rowOff>133350</xdr:rowOff>
    </xdr:from>
    <xdr:to>
      <xdr:col>4</xdr:col>
      <xdr:colOff>932250</xdr:colOff>
      <xdr:row>3</xdr:row>
      <xdr:rowOff>76350</xdr:rowOff>
    </xdr:to>
    <xdr:sp macro="" textlink="">
      <xdr:nvSpPr>
        <xdr:cNvPr id="3" name="Rectangle à coins arrondis 5">
          <a:hlinkClick xmlns:r="http://schemas.openxmlformats.org/officeDocument/2006/relationships" r:id="rId1" tooltip="Scorecard"/>
        </xdr:cNvPr>
        <xdr:cNvSpPr>
          <a:spLocks noChangeArrowheads="1"/>
        </xdr:cNvSpPr>
      </xdr:nvSpPr>
      <xdr:spPr bwMode="auto">
        <a:xfrm>
          <a:off x="2914650" y="4572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266700</xdr:colOff>
      <xdr:row>1</xdr:row>
      <xdr:rowOff>133350</xdr:rowOff>
    </xdr:from>
    <xdr:to>
      <xdr:col>2</xdr:col>
      <xdr:colOff>996975</xdr:colOff>
      <xdr:row>3</xdr:row>
      <xdr:rowOff>76350</xdr:rowOff>
    </xdr:to>
    <xdr:sp macro="" textlink="">
      <xdr:nvSpPr>
        <xdr:cNvPr id="13" name="Rectangle à coins arrondis 3">
          <a:hlinkClick xmlns:r="http://schemas.openxmlformats.org/officeDocument/2006/relationships" r:id="rId2" tooltip="Back to Waste &amp; Pollution"/>
        </xdr:cNvPr>
        <xdr:cNvSpPr>
          <a:spLocks noChangeArrowheads="1"/>
        </xdr:cNvSpPr>
      </xdr:nvSpPr>
      <xdr:spPr bwMode="auto">
        <a:xfrm>
          <a:off x="266700" y="457200"/>
          <a:ext cx="2340000" cy="324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Waste &amp; Pollution</a:t>
          </a:r>
        </a:p>
      </xdr:txBody>
    </xdr:sp>
    <xdr:clientData/>
  </xdr:twoCellAnchor>
  <xdr:twoCellAnchor>
    <xdr:from>
      <xdr:col>6</xdr:col>
      <xdr:colOff>19049</xdr:colOff>
      <xdr:row>1</xdr:row>
      <xdr:rowOff>152400</xdr:rowOff>
    </xdr:from>
    <xdr:to>
      <xdr:col>6</xdr:col>
      <xdr:colOff>1135049</xdr:colOff>
      <xdr:row>3</xdr:row>
      <xdr:rowOff>59400</xdr:rowOff>
    </xdr:to>
    <xdr:sp macro="" textlink="">
      <xdr:nvSpPr>
        <xdr:cNvPr id="8" name="Rectangle à coins arrondis 2">
          <a:hlinkClick xmlns:r="http://schemas.openxmlformats.org/officeDocument/2006/relationships" r:id="rId3" tooltip="Strategy A"/>
        </xdr:cNvPr>
        <xdr:cNvSpPr>
          <a:spLocks noChangeArrowheads="1"/>
        </xdr:cNvSpPr>
      </xdr:nvSpPr>
      <xdr:spPr bwMode="auto">
        <a:xfrm>
          <a:off x="6543674" y="476250"/>
          <a:ext cx="1116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1276348</xdr:colOff>
      <xdr:row>1</xdr:row>
      <xdr:rowOff>152400</xdr:rowOff>
    </xdr:from>
    <xdr:to>
      <xdr:col>7</xdr:col>
      <xdr:colOff>1096948</xdr:colOff>
      <xdr:row>3</xdr:row>
      <xdr:rowOff>59400</xdr:rowOff>
    </xdr:to>
    <xdr:sp macro="" textlink="">
      <xdr:nvSpPr>
        <xdr:cNvPr id="9" name="Rectangle à coins arrondis 2">
          <a:hlinkClick xmlns:r="http://schemas.openxmlformats.org/officeDocument/2006/relationships" r:id="rId4" tooltip="Strategy B"/>
        </xdr:cNvPr>
        <xdr:cNvSpPr>
          <a:spLocks noChangeArrowheads="1"/>
        </xdr:cNvSpPr>
      </xdr:nvSpPr>
      <xdr:spPr bwMode="auto">
        <a:xfrm>
          <a:off x="7800973" y="476250"/>
          <a:ext cx="1116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0</xdr:colOff>
      <xdr:row>1</xdr:row>
      <xdr:rowOff>152400</xdr:rowOff>
    </xdr:from>
    <xdr:to>
      <xdr:col>5</xdr:col>
      <xdr:colOff>1116000</xdr:colOff>
      <xdr:row>3</xdr:row>
      <xdr:rowOff>59400</xdr:rowOff>
    </xdr:to>
    <xdr:sp macro="" textlink="">
      <xdr:nvSpPr>
        <xdr:cNvPr id="10" name="Rectangle à coins arrondis 2">
          <a:hlinkClick xmlns:r="http://schemas.openxmlformats.org/officeDocument/2006/relationships" r:id="rId5" tooltip="Prerequisite"/>
        </xdr:cNvPr>
        <xdr:cNvSpPr>
          <a:spLocks noChangeArrowheads="1"/>
        </xdr:cNvSpPr>
      </xdr:nvSpPr>
      <xdr:spPr bwMode="auto">
        <a:xfrm>
          <a:off x="5295900" y="476250"/>
          <a:ext cx="1116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Prerequisite</a:t>
          </a:r>
        </a:p>
      </xdr:txBody>
    </xdr:sp>
    <xdr:clientData/>
  </xdr:twoCellAnchor>
  <xdr:twoCellAnchor editAs="oneCell">
    <xdr:from>
      <xdr:col>1</xdr:col>
      <xdr:colOff>9525</xdr:colOff>
      <xdr:row>21</xdr:row>
      <xdr:rowOff>66675</xdr:rowOff>
    </xdr:from>
    <xdr:to>
      <xdr:col>1</xdr:col>
      <xdr:colOff>405525</xdr:colOff>
      <xdr:row>23</xdr:row>
      <xdr:rowOff>119775</xdr:rowOff>
    </xdr:to>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5753100"/>
          <a:ext cx="396000" cy="396000"/>
        </a:xfrm>
        <a:prstGeom prst="rect">
          <a:avLst/>
        </a:prstGeom>
      </xdr:spPr>
    </xdr:pic>
    <xdr:clientData/>
  </xdr:twoCellAnchor>
  <xdr:twoCellAnchor editAs="oneCell">
    <xdr:from>
      <xdr:col>1</xdr:col>
      <xdr:colOff>57150</xdr:colOff>
      <xdr:row>26</xdr:row>
      <xdr:rowOff>47625</xdr:rowOff>
    </xdr:from>
    <xdr:to>
      <xdr:col>1</xdr:col>
      <xdr:colOff>561150</xdr:colOff>
      <xdr:row>28</xdr:row>
      <xdr:rowOff>170625</xdr:rowOff>
    </xdr:to>
    <xdr:pic>
      <xdr:nvPicPr>
        <xdr:cNvPr id="18" name="Picture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6648450"/>
          <a:ext cx="504000" cy="504000"/>
        </a:xfrm>
        <a:prstGeom prst="rect">
          <a:avLst/>
        </a:prstGeom>
      </xdr:spPr>
    </xdr:pic>
    <xdr:clientData/>
  </xdr:twoCellAnchor>
  <xdr:oneCellAnchor>
    <xdr:from>
      <xdr:col>1</xdr:col>
      <xdr:colOff>9525</xdr:colOff>
      <xdr:row>31</xdr:row>
      <xdr:rowOff>76200</xdr:rowOff>
    </xdr:from>
    <xdr:ext cx="396000" cy="396000"/>
    <xdr:pic>
      <xdr:nvPicPr>
        <xdr:cNvPr id="19" name="Picture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11287125"/>
          <a:ext cx="396000" cy="396000"/>
        </a:xfrm>
        <a:prstGeom prst="rect">
          <a:avLst/>
        </a:prstGeom>
      </xdr:spPr>
    </xdr:pic>
    <xdr:clientData/>
  </xdr:oneCellAnchor>
  <xdr:oneCellAnchor>
    <xdr:from>
      <xdr:col>1</xdr:col>
      <xdr:colOff>19050</xdr:colOff>
      <xdr:row>35</xdr:row>
      <xdr:rowOff>104775</xdr:rowOff>
    </xdr:from>
    <xdr:ext cx="360000" cy="360000"/>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8458200"/>
          <a:ext cx="360000" cy="360000"/>
        </a:xfrm>
        <a:prstGeom prst="rect">
          <a:avLst/>
        </a:prstGeom>
      </xdr:spPr>
    </xdr:pic>
    <xdr:clientData/>
  </xdr:oneCellAnchor>
  <xdr:twoCellAnchor editAs="oneCell">
    <xdr:from>
      <xdr:col>1</xdr:col>
      <xdr:colOff>38100</xdr:colOff>
      <xdr:row>67</xdr:row>
      <xdr:rowOff>76200</xdr:rowOff>
    </xdr:from>
    <xdr:to>
      <xdr:col>1</xdr:col>
      <xdr:colOff>470100</xdr:colOff>
      <xdr:row>69</xdr:row>
      <xdr:rowOff>127200</xdr:rowOff>
    </xdr:to>
    <xdr:pic>
      <xdr:nvPicPr>
        <xdr:cNvPr id="21" name="Picture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 y="15859125"/>
          <a:ext cx="432000" cy="432000"/>
        </a:xfrm>
        <a:prstGeom prst="rect">
          <a:avLst/>
        </a:prstGeom>
      </xdr:spPr>
    </xdr:pic>
    <xdr:clientData/>
  </xdr:twoCellAnchor>
  <xdr:twoCellAnchor editAs="oneCell">
    <xdr:from>
      <xdr:col>1</xdr:col>
      <xdr:colOff>9525</xdr:colOff>
      <xdr:row>106</xdr:row>
      <xdr:rowOff>57150</xdr:rowOff>
    </xdr:from>
    <xdr:to>
      <xdr:col>1</xdr:col>
      <xdr:colOff>405525</xdr:colOff>
      <xdr:row>108</xdr:row>
      <xdr:rowOff>110250</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23993475"/>
          <a:ext cx="396000" cy="396000"/>
        </a:xfrm>
        <a:prstGeom prst="rect">
          <a:avLst/>
        </a:prstGeom>
      </xdr:spPr>
    </xdr:pic>
    <xdr:clientData/>
  </xdr:twoCellAnchor>
  <xdr:oneCellAnchor>
    <xdr:from>
      <xdr:col>1</xdr:col>
      <xdr:colOff>9525</xdr:colOff>
      <xdr:row>74</xdr:row>
      <xdr:rowOff>76200</xdr:rowOff>
    </xdr:from>
    <xdr:ext cx="396000" cy="396000"/>
    <xdr:pic>
      <xdr:nvPicPr>
        <xdr:cNvPr id="14" name="Pictur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7915275"/>
          <a:ext cx="396000" cy="396000"/>
        </a:xfrm>
        <a:prstGeom prst="rect">
          <a:avLst/>
        </a:prstGeom>
      </xdr:spPr>
    </xdr:pic>
    <xdr:clientData/>
  </xdr:oneCellAnchor>
  <xdr:oneCellAnchor>
    <xdr:from>
      <xdr:col>1</xdr:col>
      <xdr:colOff>19050</xdr:colOff>
      <xdr:row>108</xdr:row>
      <xdr:rowOff>161925</xdr:rowOff>
    </xdr:from>
    <xdr:ext cx="396000" cy="396000"/>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24441150"/>
          <a:ext cx="396000" cy="396000"/>
        </a:xfrm>
        <a:prstGeom prst="rect">
          <a:avLst/>
        </a:prstGeom>
      </xdr:spPr>
    </xdr:pic>
    <xdr:clientData/>
  </xdr:oneCellAnchor>
  <xdr:twoCellAnchor>
    <xdr:from>
      <xdr:col>7</xdr:col>
      <xdr:colOff>1447800</xdr:colOff>
      <xdr:row>1</xdr:row>
      <xdr:rowOff>104775</xdr:rowOff>
    </xdr:from>
    <xdr:to>
      <xdr:col>8</xdr:col>
      <xdr:colOff>409575</xdr:colOff>
      <xdr:row>3</xdr:row>
      <xdr:rowOff>76200</xdr:rowOff>
    </xdr:to>
    <xdr:sp macro="" textlink="">
      <xdr:nvSpPr>
        <xdr:cNvPr id="16" name="Up Arrow 15">
          <a:hlinkClick xmlns:r="http://schemas.openxmlformats.org/officeDocument/2006/relationships" r:id="rId9" tooltip="Back to top"/>
        </xdr:cNvPr>
        <xdr:cNvSpPr/>
      </xdr:nvSpPr>
      <xdr:spPr>
        <a:xfrm>
          <a:off x="9267825" y="428625"/>
          <a:ext cx="447675" cy="352425"/>
        </a:xfrm>
        <a:prstGeom prst="upArrow">
          <a:avLst/>
        </a:prstGeom>
        <a:solidFill>
          <a:srgbClr val="4A562A"/>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257173</xdr:colOff>
      <xdr:row>1</xdr:row>
      <xdr:rowOff>123825</xdr:rowOff>
    </xdr:from>
    <xdr:to>
      <xdr:col>4</xdr:col>
      <xdr:colOff>1008448</xdr:colOff>
      <xdr:row>3</xdr:row>
      <xdr:rowOff>66825</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3095623" y="4191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361950</xdr:colOff>
      <xdr:row>1</xdr:row>
      <xdr:rowOff>133350</xdr:rowOff>
    </xdr:from>
    <xdr:to>
      <xdr:col>2</xdr:col>
      <xdr:colOff>1092225</xdr:colOff>
      <xdr:row>3</xdr:row>
      <xdr:rowOff>76350</xdr:rowOff>
    </xdr:to>
    <xdr:sp macro="" textlink="">
      <xdr:nvSpPr>
        <xdr:cNvPr id="10" name="Rectangle à coins arrondis 3">
          <a:hlinkClick xmlns:r="http://schemas.openxmlformats.org/officeDocument/2006/relationships" r:id="rId2" tooltip="Back to Waste &amp; Pollution"/>
        </xdr:cNvPr>
        <xdr:cNvSpPr>
          <a:spLocks noChangeArrowheads="1"/>
        </xdr:cNvSpPr>
      </xdr:nvSpPr>
      <xdr:spPr bwMode="auto">
        <a:xfrm>
          <a:off x="361950" y="428625"/>
          <a:ext cx="2340000" cy="324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Waste &amp; Pollution</a:t>
          </a:r>
        </a:p>
      </xdr:txBody>
    </xdr:sp>
    <xdr:clientData/>
  </xdr:twoCellAnchor>
  <xdr:twoCellAnchor>
    <xdr:from>
      <xdr:col>5</xdr:col>
      <xdr:colOff>523875</xdr:colOff>
      <xdr:row>1</xdr:row>
      <xdr:rowOff>161925</xdr:rowOff>
    </xdr:from>
    <xdr:to>
      <xdr:col>6</xdr:col>
      <xdr:colOff>447150</xdr:colOff>
      <xdr:row>3</xdr:row>
      <xdr:rowOff>68925</xdr:rowOff>
    </xdr:to>
    <xdr:sp macro="" textlink="">
      <xdr:nvSpPr>
        <xdr:cNvPr id="20" name="Rectangle à coins arrondis 2">
          <a:hlinkClick xmlns:r="http://schemas.openxmlformats.org/officeDocument/2006/relationships" r:id="rId3" tooltip="Strategy A"/>
        </xdr:cNvPr>
        <xdr:cNvSpPr>
          <a:spLocks noChangeArrowheads="1"/>
        </xdr:cNvSpPr>
      </xdr:nvSpPr>
      <xdr:spPr bwMode="auto">
        <a:xfrm>
          <a:off x="5819775" y="457200"/>
          <a:ext cx="1152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552449</xdr:colOff>
      <xdr:row>1</xdr:row>
      <xdr:rowOff>161925</xdr:rowOff>
    </xdr:from>
    <xdr:to>
      <xdr:col>7</xdr:col>
      <xdr:colOff>475724</xdr:colOff>
      <xdr:row>3</xdr:row>
      <xdr:rowOff>68925</xdr:rowOff>
    </xdr:to>
    <xdr:sp macro="" textlink="">
      <xdr:nvSpPr>
        <xdr:cNvPr id="21" name="Rectangle à coins arrondis 2">
          <a:hlinkClick xmlns:r="http://schemas.openxmlformats.org/officeDocument/2006/relationships" r:id="rId4" tooltip="Strategy B"/>
        </xdr:cNvPr>
        <xdr:cNvSpPr>
          <a:spLocks noChangeArrowheads="1"/>
        </xdr:cNvSpPr>
      </xdr:nvSpPr>
      <xdr:spPr bwMode="auto">
        <a:xfrm>
          <a:off x="7077074" y="457200"/>
          <a:ext cx="1152000" cy="288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oneCellAnchor>
    <xdr:from>
      <xdr:col>7</xdr:col>
      <xdr:colOff>38100</xdr:colOff>
      <xdr:row>66</xdr:row>
      <xdr:rowOff>123824</xdr:rowOff>
    </xdr:from>
    <xdr:ext cx="3069895" cy="1656000"/>
    <xdr:pic>
      <xdr:nvPicPr>
        <xdr:cNvPr id="23" name="Picture 22"/>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588" r="23754" b="12307"/>
        <a:stretch/>
      </xdr:blipFill>
      <xdr:spPr bwMode="auto">
        <a:xfrm>
          <a:off x="7791450" y="14116049"/>
          <a:ext cx="3069895" cy="165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18</xdr:row>
      <xdr:rowOff>95250</xdr:rowOff>
    </xdr:from>
    <xdr:to>
      <xdr:col>1</xdr:col>
      <xdr:colOff>396000</xdr:colOff>
      <xdr:row>20</xdr:row>
      <xdr:rowOff>110250</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4048125"/>
          <a:ext cx="396000" cy="396000"/>
        </a:xfrm>
        <a:prstGeom prst="rect">
          <a:avLst/>
        </a:prstGeom>
      </xdr:spPr>
    </xdr:pic>
    <xdr:clientData/>
  </xdr:twoCellAnchor>
  <xdr:twoCellAnchor editAs="oneCell">
    <xdr:from>
      <xdr:col>1</xdr:col>
      <xdr:colOff>57150</xdr:colOff>
      <xdr:row>47</xdr:row>
      <xdr:rowOff>76200</xdr:rowOff>
    </xdr:from>
    <xdr:to>
      <xdr:col>1</xdr:col>
      <xdr:colOff>489150</xdr:colOff>
      <xdr:row>49</xdr:row>
      <xdr:rowOff>127200</xdr:rowOff>
    </xdr:to>
    <xdr:pic>
      <xdr:nvPicPr>
        <xdr:cNvPr id="22" name="Picture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13115925"/>
          <a:ext cx="432000" cy="432000"/>
        </a:xfrm>
        <a:prstGeom prst="rect">
          <a:avLst/>
        </a:prstGeom>
      </xdr:spPr>
    </xdr:pic>
    <xdr:clientData/>
  </xdr:twoCellAnchor>
  <xdr:oneCellAnchor>
    <xdr:from>
      <xdr:col>1</xdr:col>
      <xdr:colOff>9525</xdr:colOff>
      <xdr:row>50</xdr:row>
      <xdr:rowOff>95250</xdr:rowOff>
    </xdr:from>
    <xdr:ext cx="396000" cy="396000"/>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13706475"/>
          <a:ext cx="396000" cy="396000"/>
        </a:xfrm>
        <a:prstGeom prst="rect">
          <a:avLst/>
        </a:prstGeom>
      </xdr:spPr>
    </xdr:pic>
    <xdr:clientData/>
  </xdr:oneCellAnchor>
  <xdr:twoCellAnchor editAs="oneCell">
    <xdr:from>
      <xdr:col>1</xdr:col>
      <xdr:colOff>38100</xdr:colOff>
      <xdr:row>62</xdr:row>
      <xdr:rowOff>104775</xdr:rowOff>
    </xdr:from>
    <xdr:to>
      <xdr:col>1</xdr:col>
      <xdr:colOff>506100</xdr:colOff>
      <xdr:row>64</xdr:row>
      <xdr:rowOff>134625</xdr:rowOff>
    </xdr:to>
    <xdr:pic>
      <xdr:nvPicPr>
        <xdr:cNvPr id="25" name="Picture 2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 y="16344900"/>
          <a:ext cx="468000" cy="468000"/>
        </a:xfrm>
        <a:prstGeom prst="rect">
          <a:avLst/>
        </a:prstGeom>
      </xdr:spPr>
    </xdr:pic>
    <xdr:clientData/>
  </xdr:twoCellAnchor>
  <xdr:oneCellAnchor>
    <xdr:from>
      <xdr:col>1</xdr:col>
      <xdr:colOff>0</xdr:colOff>
      <xdr:row>21</xdr:row>
      <xdr:rowOff>85725</xdr:rowOff>
    </xdr:from>
    <xdr:ext cx="396000" cy="396000"/>
    <xdr:pic>
      <xdr:nvPicPr>
        <xdr:cNvPr id="26" name="Picture 2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0" y="4610100"/>
          <a:ext cx="396000" cy="396000"/>
        </a:xfrm>
        <a:prstGeom prst="rect">
          <a:avLst/>
        </a:prstGeom>
      </xdr:spPr>
    </xdr:pic>
    <xdr:clientData/>
  </xdr:oneCellAnchor>
  <xdr:twoCellAnchor>
    <xdr:from>
      <xdr:col>7</xdr:col>
      <xdr:colOff>866775</xdr:colOff>
      <xdr:row>1</xdr:row>
      <xdr:rowOff>114300</xdr:rowOff>
    </xdr:from>
    <xdr:to>
      <xdr:col>7</xdr:col>
      <xdr:colOff>1314450</xdr:colOff>
      <xdr:row>3</xdr:row>
      <xdr:rowOff>85725</xdr:rowOff>
    </xdr:to>
    <xdr:sp macro="" textlink="">
      <xdr:nvSpPr>
        <xdr:cNvPr id="12" name="Up Arrow 11">
          <a:hlinkClick xmlns:r="http://schemas.openxmlformats.org/officeDocument/2006/relationships" r:id="rId8" tooltip="Back to top"/>
        </xdr:cNvPr>
        <xdr:cNvSpPr/>
      </xdr:nvSpPr>
      <xdr:spPr>
        <a:xfrm>
          <a:off x="8620125" y="409575"/>
          <a:ext cx="447675" cy="352425"/>
        </a:xfrm>
        <a:prstGeom prst="upArrow">
          <a:avLst/>
        </a:prstGeom>
        <a:solidFill>
          <a:srgbClr val="4A562A"/>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58</xdr:row>
      <xdr:rowOff>66671</xdr:rowOff>
    </xdr:from>
    <xdr:to>
      <xdr:col>8</xdr:col>
      <xdr:colOff>9000</xdr:colOff>
      <xdr:row>60</xdr:row>
      <xdr:rowOff>147916</xdr:rowOff>
    </xdr:to>
    <xdr:pic>
      <xdr:nvPicPr>
        <xdr:cNvPr id="7" name="Picture 6"/>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 b="43381"/>
        <a:stretch/>
      </xdr:blipFill>
      <xdr:spPr bwMode="auto">
        <a:xfrm>
          <a:off x="295275" y="12392021"/>
          <a:ext cx="5724000" cy="462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53</xdr:row>
      <xdr:rowOff>95250</xdr:rowOff>
    </xdr:from>
    <xdr:to>
      <xdr:col>8</xdr:col>
      <xdr:colOff>19050</xdr:colOff>
      <xdr:row>55</xdr:row>
      <xdr:rowOff>180975</xdr:rowOff>
    </xdr:to>
    <xdr:pic>
      <xdr:nvPicPr>
        <xdr:cNvPr id="11" name="Picture 10"/>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 b="38961"/>
        <a:stretch/>
      </xdr:blipFill>
      <xdr:spPr bwMode="auto">
        <a:xfrm>
          <a:off x="352425" y="11839575"/>
          <a:ext cx="5743575" cy="4476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209550</xdr:colOff>
      <xdr:row>1</xdr:row>
      <xdr:rowOff>152399</xdr:rowOff>
    </xdr:from>
    <xdr:to>
      <xdr:col>12</xdr:col>
      <xdr:colOff>513975</xdr:colOff>
      <xdr:row>3</xdr:row>
      <xdr:rowOff>19199</xdr:rowOff>
    </xdr:to>
    <xdr:sp macro="" textlink="">
      <xdr:nvSpPr>
        <xdr:cNvPr id="44" name="Rectangle à coins arrondis 2">
          <a:hlinkClick xmlns:r="http://schemas.openxmlformats.org/officeDocument/2006/relationships" r:id="rId3" tooltip="Recommendations"/>
        </xdr:cNvPr>
        <xdr:cNvSpPr>
          <a:spLocks noChangeArrowheads="1"/>
        </xdr:cNvSpPr>
      </xdr:nvSpPr>
      <xdr:spPr bwMode="auto">
        <a:xfrm>
          <a:off x="8686800" y="533399"/>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FFA500"/>
            </a:solidFill>
            <a:latin typeface="Arial" pitchFamily="34" charset="0"/>
            <a:cs typeface="Arial" pitchFamily="34" charset="0"/>
          </a:endParaRPr>
        </a:p>
      </xdr:txBody>
    </xdr:sp>
    <xdr:clientData/>
  </xdr:twoCellAnchor>
  <xdr:twoCellAnchor>
    <xdr:from>
      <xdr:col>12</xdr:col>
      <xdr:colOff>600450</xdr:colOff>
      <xdr:row>1</xdr:row>
      <xdr:rowOff>152400</xdr:rowOff>
    </xdr:from>
    <xdr:to>
      <xdr:col>14</xdr:col>
      <xdr:colOff>295275</xdr:colOff>
      <xdr:row>3</xdr:row>
      <xdr:rowOff>19200</xdr:rowOff>
    </xdr:to>
    <xdr:sp macro="" textlink="">
      <xdr:nvSpPr>
        <xdr:cNvPr id="45" name="Rectangle à coins arrondis 2">
          <a:hlinkClick xmlns:r="http://schemas.openxmlformats.org/officeDocument/2006/relationships" r:id="rId4" tooltip="Scorecard"/>
        </xdr:cNvPr>
        <xdr:cNvSpPr>
          <a:spLocks noChangeArrowheads="1"/>
        </xdr:cNvSpPr>
      </xdr:nvSpPr>
      <xdr:spPr bwMode="auto">
        <a:xfrm>
          <a:off x="10249275" y="533400"/>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Scorecard</a:t>
          </a:r>
        </a:p>
      </xdr:txBody>
    </xdr:sp>
    <xdr:clientData/>
  </xdr:twoCellAnchor>
  <xdr:twoCellAnchor>
    <xdr:from>
      <xdr:col>9</xdr:col>
      <xdr:colOff>247650</xdr:colOff>
      <xdr:row>1</xdr:row>
      <xdr:rowOff>152399</xdr:rowOff>
    </xdr:from>
    <xdr:to>
      <xdr:col>11</xdr:col>
      <xdr:colOff>123450</xdr:colOff>
      <xdr:row>3</xdr:row>
      <xdr:rowOff>19199</xdr:rowOff>
    </xdr:to>
    <xdr:sp macro="" textlink="">
      <xdr:nvSpPr>
        <xdr:cNvPr id="46" name="Rectangle à coins arrondis 2">
          <a:hlinkClick xmlns:r="http://schemas.openxmlformats.org/officeDocument/2006/relationships" r:id="rId5" tooltip="Instructions"/>
        </xdr:cNvPr>
        <xdr:cNvSpPr>
          <a:spLocks noChangeArrowheads="1"/>
        </xdr:cNvSpPr>
      </xdr:nvSpPr>
      <xdr:spPr bwMode="auto">
        <a:xfrm>
          <a:off x="7124700" y="533399"/>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FFA500"/>
            </a:solidFill>
            <a:latin typeface="Arial" panose="020B0604020202020204" pitchFamily="34" charset="0"/>
            <a:cs typeface="Arial" panose="020B0604020202020204" pitchFamily="34" charset="0"/>
          </a:endParaRPr>
        </a:p>
      </xdr:txBody>
    </xdr:sp>
    <xdr:clientData/>
  </xdr:twoCellAnchor>
  <xdr:twoCellAnchor>
    <xdr:from>
      <xdr:col>9</xdr:col>
      <xdr:colOff>247650</xdr:colOff>
      <xdr:row>3</xdr:row>
      <xdr:rowOff>133350</xdr:rowOff>
    </xdr:from>
    <xdr:to>
      <xdr:col>11</xdr:col>
      <xdr:colOff>123450</xdr:colOff>
      <xdr:row>5</xdr:row>
      <xdr:rowOff>150</xdr:rowOff>
    </xdr:to>
    <xdr:sp macro="" textlink="">
      <xdr:nvSpPr>
        <xdr:cNvPr id="48" name="Rectangle à coins arrondis 2">
          <a:hlinkClick xmlns:r="http://schemas.openxmlformats.org/officeDocument/2006/relationships" r:id="rId6" tooltip="Project Information"/>
        </xdr:cNvPr>
        <xdr:cNvSpPr>
          <a:spLocks noChangeArrowheads="1"/>
        </xdr:cNvSpPr>
      </xdr:nvSpPr>
      <xdr:spPr bwMode="auto">
        <a:xfrm>
          <a:off x="7124700" y="971550"/>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Project Information</a:t>
          </a:r>
        </a:p>
      </xdr:txBody>
    </xdr:sp>
    <xdr:clientData/>
  </xdr:twoCellAnchor>
  <xdr:twoCellAnchor>
    <xdr:from>
      <xdr:col>11</xdr:col>
      <xdr:colOff>219450</xdr:colOff>
      <xdr:row>3</xdr:row>
      <xdr:rowOff>142875</xdr:rowOff>
    </xdr:from>
    <xdr:to>
      <xdr:col>12</xdr:col>
      <xdr:colOff>523875</xdr:colOff>
      <xdr:row>5</xdr:row>
      <xdr:rowOff>9675</xdr:rowOff>
    </xdr:to>
    <xdr:sp macro="" textlink="">
      <xdr:nvSpPr>
        <xdr:cNvPr id="49" name="Rectangle à coins arrondis 2">
          <a:hlinkClick xmlns:r="http://schemas.openxmlformats.org/officeDocument/2006/relationships" r:id="rId7" tooltip="Graphical Results"/>
        </xdr:cNvPr>
        <xdr:cNvSpPr>
          <a:spLocks noChangeArrowheads="1"/>
        </xdr:cNvSpPr>
      </xdr:nvSpPr>
      <xdr:spPr bwMode="auto">
        <a:xfrm>
          <a:off x="8696700" y="9810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Graphical Results </a:t>
          </a:r>
        </a:p>
      </xdr:txBody>
    </xdr:sp>
    <xdr:clientData/>
  </xdr:twoCellAnchor>
  <xdr:twoCellAnchor editAs="oneCell">
    <xdr:from>
      <xdr:col>2</xdr:col>
      <xdr:colOff>362587</xdr:colOff>
      <xdr:row>60</xdr:row>
      <xdr:rowOff>85708</xdr:rowOff>
    </xdr:from>
    <xdr:to>
      <xdr:col>8</xdr:col>
      <xdr:colOff>210337</xdr:colOff>
      <xdr:row>66</xdr:row>
      <xdr:rowOff>157283</xdr:rowOff>
    </xdr:to>
    <xdr:pic>
      <xdr:nvPicPr>
        <xdr:cNvPr id="5" name="Picture 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24612" y="13696933"/>
          <a:ext cx="4896000" cy="1214575"/>
        </a:xfrm>
        <a:prstGeom prst="rect">
          <a:avLst/>
        </a:prstGeom>
      </xdr:spPr>
    </xdr:pic>
    <xdr:clientData/>
  </xdr:twoCellAnchor>
  <xdr:twoCellAnchor>
    <xdr:from>
      <xdr:col>10</xdr:col>
      <xdr:colOff>590550</xdr:colOff>
      <xdr:row>22</xdr:row>
      <xdr:rowOff>47625</xdr:rowOff>
    </xdr:from>
    <xdr:to>
      <xdr:col>12</xdr:col>
      <xdr:colOff>9150</xdr:colOff>
      <xdr:row>23</xdr:row>
      <xdr:rowOff>181125</xdr:rowOff>
    </xdr:to>
    <xdr:sp macro="" textlink="">
      <xdr:nvSpPr>
        <xdr:cNvPr id="12" name="Rectangle à coins arrondis 2">
          <a:hlinkClick xmlns:r="http://schemas.openxmlformats.org/officeDocument/2006/relationships" r:id="rId9" tooltip="Eligibility"/>
        </xdr:cNvPr>
        <xdr:cNvSpPr>
          <a:spLocks noChangeArrowheads="1"/>
        </xdr:cNvSpPr>
      </xdr:nvSpPr>
      <xdr:spPr bwMode="auto">
        <a:xfrm>
          <a:off x="8181975" y="40671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Eligibility</a:t>
          </a:r>
        </a:p>
      </xdr:txBody>
    </xdr:sp>
    <xdr:clientData/>
  </xdr:twoCellAnchor>
  <xdr:twoCellAnchor>
    <xdr:from>
      <xdr:col>9</xdr:col>
      <xdr:colOff>352425</xdr:colOff>
      <xdr:row>22</xdr:row>
      <xdr:rowOff>19050</xdr:rowOff>
    </xdr:from>
    <xdr:to>
      <xdr:col>10</xdr:col>
      <xdr:colOff>466725</xdr:colOff>
      <xdr:row>24</xdr:row>
      <xdr:rowOff>28575</xdr:rowOff>
    </xdr:to>
    <xdr:sp macro="" textlink="">
      <xdr:nvSpPr>
        <xdr:cNvPr id="2" name="Right Arrow 1"/>
        <xdr:cNvSpPr/>
      </xdr:nvSpPr>
      <xdr:spPr>
        <a:xfrm>
          <a:off x="7229475" y="4038600"/>
          <a:ext cx="828675" cy="390525"/>
        </a:xfrm>
        <a:prstGeom prst="rightArrow">
          <a:avLst/>
        </a:prstGeom>
        <a:solidFill>
          <a:srgbClr val="FFAF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609600</xdr:colOff>
      <xdr:row>3</xdr:row>
      <xdr:rowOff>142875</xdr:rowOff>
    </xdr:from>
    <xdr:to>
      <xdr:col>14</xdr:col>
      <xdr:colOff>304425</xdr:colOff>
      <xdr:row>5</xdr:row>
      <xdr:rowOff>9675</xdr:rowOff>
    </xdr:to>
    <xdr:sp macro="" textlink="">
      <xdr:nvSpPr>
        <xdr:cNvPr id="14" name="Rectangle à coins arrondis 2">
          <a:hlinkClick xmlns:r="http://schemas.openxmlformats.org/officeDocument/2006/relationships" r:id="rId10" tooltip="Glossary"/>
        </xdr:cNvPr>
        <xdr:cNvSpPr>
          <a:spLocks noChangeArrowheads="1"/>
        </xdr:cNvSpPr>
      </xdr:nvSpPr>
      <xdr:spPr bwMode="auto">
        <a:xfrm>
          <a:off x="10258425" y="9810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Glossary</a:t>
          </a:r>
        </a:p>
      </xdr:txBody>
    </xdr:sp>
    <xdr:clientData/>
  </xdr:twoCellAnchor>
  <xdr:twoCellAnchor editAs="oneCell">
    <xdr:from>
      <xdr:col>1</xdr:col>
      <xdr:colOff>276225</xdr:colOff>
      <xdr:row>73</xdr:row>
      <xdr:rowOff>123825</xdr:rowOff>
    </xdr:from>
    <xdr:to>
      <xdr:col>10</xdr:col>
      <xdr:colOff>114300</xdr:colOff>
      <xdr:row>85</xdr:row>
      <xdr:rowOff>99706</xdr:rowOff>
    </xdr:to>
    <xdr:pic>
      <xdr:nvPicPr>
        <xdr:cNvPr id="16" name="Picture 15" descr="C:\Users\VGBC-HP\Downloads\LOTUS Interiors V1 Timeline(1).png"/>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30709"/>
        <a:stretch/>
      </xdr:blipFill>
      <xdr:spPr bwMode="auto">
        <a:xfrm>
          <a:off x="523875" y="16697325"/>
          <a:ext cx="7181850" cy="2261881"/>
        </a:xfrm>
        <a:prstGeom prst="rect">
          <a:avLst/>
        </a:prstGeom>
        <a:noFill/>
        <a:ln>
          <a:solidFill>
            <a:schemeClr val="bg1">
              <a:lumMod val="50000"/>
            </a:schemeClr>
          </a:solidFill>
        </a:ln>
      </xdr:spPr>
    </xdr:pic>
    <xdr:clientData/>
  </xdr:twoCellAnchor>
  <xdr:twoCellAnchor>
    <xdr:from>
      <xdr:col>8</xdr:col>
      <xdr:colOff>390525</xdr:colOff>
      <xdr:row>2</xdr:row>
      <xdr:rowOff>95250</xdr:rowOff>
    </xdr:from>
    <xdr:to>
      <xdr:col>8</xdr:col>
      <xdr:colOff>838200</xdr:colOff>
      <xdr:row>3</xdr:row>
      <xdr:rowOff>219075</xdr:rowOff>
    </xdr:to>
    <xdr:sp macro="" textlink="">
      <xdr:nvSpPr>
        <xdr:cNvPr id="15" name="Up Arrow 14">
          <a:hlinkClick xmlns:r="http://schemas.openxmlformats.org/officeDocument/2006/relationships" r:id="rId12" tooltip="Back to top"/>
        </xdr:cNvPr>
        <xdr:cNvSpPr/>
      </xdr:nvSpPr>
      <xdr:spPr>
        <a:xfrm>
          <a:off x="6400800" y="704850"/>
          <a:ext cx="447675" cy="352425"/>
        </a:xfrm>
        <a:prstGeom prst="upArrow">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116417</xdr:colOff>
      <xdr:row>0</xdr:row>
      <xdr:rowOff>84664</xdr:rowOff>
    </xdr:from>
    <xdr:to>
      <xdr:col>11</xdr:col>
      <xdr:colOff>105707</xdr:colOff>
      <xdr:row>4</xdr:row>
      <xdr:rowOff>189731</xdr:rowOff>
    </xdr:to>
    <xdr:pic>
      <xdr:nvPicPr>
        <xdr:cNvPr id="5" name="Image 2" descr="HC.png"/>
        <xdr:cNvPicPr>
          <a:picLocks noChangeAspect="1"/>
        </xdr:cNvPicPr>
      </xdr:nvPicPr>
      <xdr:blipFill>
        <a:blip xmlns:r="http://schemas.openxmlformats.org/officeDocument/2006/relationships" r:embed="rId1" cstate="print"/>
        <a:srcRect/>
        <a:stretch>
          <a:fillRect/>
        </a:stretch>
      </xdr:blipFill>
      <xdr:spPr bwMode="auto">
        <a:xfrm>
          <a:off x="9831917" y="84664"/>
          <a:ext cx="888873" cy="898817"/>
        </a:xfrm>
        <a:prstGeom prst="rect">
          <a:avLst/>
        </a:prstGeom>
        <a:noFill/>
        <a:ln w="9525">
          <a:noFill/>
          <a:miter lim="800000"/>
          <a:headEnd/>
          <a:tailEnd/>
        </a:ln>
      </xdr:spPr>
    </xdr:pic>
    <xdr:clientData/>
  </xdr:twoCellAnchor>
  <xdr:twoCellAnchor>
    <xdr:from>
      <xdr:col>0</xdr:col>
      <xdr:colOff>306917</xdr:colOff>
      <xdr:row>20</xdr:row>
      <xdr:rowOff>21169</xdr:rowOff>
    </xdr:from>
    <xdr:to>
      <xdr:col>1</xdr:col>
      <xdr:colOff>1905917</xdr:colOff>
      <xdr:row>21</xdr:row>
      <xdr:rowOff>74253</xdr:rowOff>
    </xdr:to>
    <xdr:sp macro="" textlink="">
      <xdr:nvSpPr>
        <xdr:cNvPr id="4" name="Rectangle à coins arrondis 2">
          <a:hlinkClick xmlns:r="http://schemas.openxmlformats.org/officeDocument/2006/relationships" r:id="rId2" tooltip="See the Scorecard"/>
        </xdr:cNvPr>
        <xdr:cNvSpPr>
          <a:spLocks noChangeArrowheads="1"/>
        </xdr:cNvSpPr>
      </xdr:nvSpPr>
      <xdr:spPr bwMode="auto">
        <a:xfrm>
          <a:off x="306917" y="5058836"/>
          <a:ext cx="1980000"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323850</xdr:colOff>
      <xdr:row>1</xdr:row>
      <xdr:rowOff>133351</xdr:rowOff>
    </xdr:from>
    <xdr:to>
      <xdr:col>2</xdr:col>
      <xdr:colOff>702675</xdr:colOff>
      <xdr:row>3</xdr:row>
      <xdr:rowOff>76351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23850"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1200150</xdr:colOff>
      <xdr:row>1</xdr:row>
      <xdr:rowOff>133350</xdr:rowOff>
    </xdr:from>
    <xdr:to>
      <xdr:col>4</xdr:col>
      <xdr:colOff>351225</xdr:colOff>
      <xdr:row>3</xdr:row>
      <xdr:rowOff>76350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981325" y="42862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14</xdr:row>
      <xdr:rowOff>76200</xdr:rowOff>
    </xdr:from>
    <xdr:to>
      <xdr:col>1</xdr:col>
      <xdr:colOff>432000</xdr:colOff>
      <xdr:row>16</xdr:row>
      <xdr:rowOff>127200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114675"/>
          <a:ext cx="432000" cy="432000"/>
        </a:xfrm>
        <a:prstGeom prst="rect">
          <a:avLst/>
        </a:prstGeom>
      </xdr:spPr>
    </xdr:pic>
    <xdr:clientData/>
  </xdr:twoCellAnchor>
  <xdr:twoCellAnchor editAs="oneCell">
    <xdr:from>
      <xdr:col>1</xdr:col>
      <xdr:colOff>47625</xdr:colOff>
      <xdr:row>20</xdr:row>
      <xdr:rowOff>152400</xdr:rowOff>
    </xdr:from>
    <xdr:to>
      <xdr:col>1</xdr:col>
      <xdr:colOff>407625</xdr:colOff>
      <xdr:row>22</xdr:row>
      <xdr:rowOff>93300</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 y="3990975"/>
          <a:ext cx="360000" cy="360000"/>
        </a:xfrm>
        <a:prstGeom prst="rect">
          <a:avLst/>
        </a:prstGeom>
      </xdr:spPr>
    </xdr:pic>
    <xdr:clientData/>
  </xdr:twoCellAnchor>
  <xdr:twoCellAnchor editAs="oneCell">
    <xdr:from>
      <xdr:col>1</xdr:col>
      <xdr:colOff>47625</xdr:colOff>
      <xdr:row>17</xdr:row>
      <xdr:rowOff>114300</xdr:rowOff>
    </xdr:from>
    <xdr:to>
      <xdr:col>1</xdr:col>
      <xdr:colOff>407625</xdr:colOff>
      <xdr:row>19</xdr:row>
      <xdr:rowOff>93300</xdr:rowOff>
    </xdr:to>
    <xdr:pic>
      <xdr:nvPicPr>
        <xdr:cNvPr id="5" name="Pictur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3762375"/>
          <a:ext cx="360000" cy="360000"/>
        </a:xfrm>
        <a:prstGeom prst="rect">
          <a:avLst/>
        </a:prstGeom>
      </xdr:spPr>
    </xdr:pic>
    <xdr:clientData/>
  </xdr:twoCellAnchor>
  <xdr:twoCellAnchor>
    <xdr:from>
      <xdr:col>6</xdr:col>
      <xdr:colOff>1228725</xdr:colOff>
      <xdr:row>1</xdr:row>
      <xdr:rowOff>95250</xdr:rowOff>
    </xdr:from>
    <xdr:to>
      <xdr:col>7</xdr:col>
      <xdr:colOff>381000</xdr:colOff>
      <xdr:row>3</xdr:row>
      <xdr:rowOff>66675</xdr:rowOff>
    </xdr:to>
    <xdr:sp macro="" textlink="">
      <xdr:nvSpPr>
        <xdr:cNvPr id="7" name="Up Arrow 6">
          <a:hlinkClick xmlns:r="http://schemas.openxmlformats.org/officeDocument/2006/relationships" r:id="rId6" tooltip="Back to top"/>
        </xdr:cNvPr>
        <xdr:cNvSpPr/>
      </xdr:nvSpPr>
      <xdr:spPr>
        <a:xfrm>
          <a:off x="8458200" y="39052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314324</xdr:colOff>
      <xdr:row>1</xdr:row>
      <xdr:rowOff>133351</xdr:rowOff>
    </xdr:from>
    <xdr:to>
      <xdr:col>2</xdr:col>
      <xdr:colOff>769349</xdr:colOff>
      <xdr:row>3</xdr:row>
      <xdr:rowOff>76351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14324"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1323975</xdr:colOff>
      <xdr:row>1</xdr:row>
      <xdr:rowOff>133350</xdr:rowOff>
    </xdr:from>
    <xdr:to>
      <xdr:col>4</xdr:col>
      <xdr:colOff>912225</xdr:colOff>
      <xdr:row>3</xdr:row>
      <xdr:rowOff>76350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105150"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9525</xdr:colOff>
      <xdr:row>14</xdr:row>
      <xdr:rowOff>76200</xdr:rowOff>
    </xdr:from>
    <xdr:ext cx="396000" cy="396000"/>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3152775"/>
          <a:ext cx="396000" cy="396000"/>
        </a:xfrm>
        <a:prstGeom prst="rect">
          <a:avLst/>
        </a:prstGeom>
      </xdr:spPr>
    </xdr:pic>
    <xdr:clientData/>
  </xdr:oneCellAnchor>
  <xdr:twoCellAnchor editAs="oneCell">
    <xdr:from>
      <xdr:col>1</xdr:col>
      <xdr:colOff>28575</xdr:colOff>
      <xdr:row>34</xdr:row>
      <xdr:rowOff>76200</xdr:rowOff>
    </xdr:from>
    <xdr:to>
      <xdr:col>1</xdr:col>
      <xdr:colOff>388575</xdr:colOff>
      <xdr:row>36</xdr:row>
      <xdr:rowOff>93300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572375"/>
          <a:ext cx="360000" cy="360000"/>
        </a:xfrm>
        <a:prstGeom prst="rect">
          <a:avLst/>
        </a:prstGeom>
      </xdr:spPr>
    </xdr:pic>
    <xdr:clientData/>
  </xdr:twoCellAnchor>
  <xdr:oneCellAnchor>
    <xdr:from>
      <xdr:col>1</xdr:col>
      <xdr:colOff>38100</xdr:colOff>
      <xdr:row>43</xdr:row>
      <xdr:rowOff>180975</xdr:rowOff>
    </xdr:from>
    <xdr:ext cx="360000" cy="360000"/>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9620250"/>
          <a:ext cx="360000" cy="360000"/>
        </a:xfrm>
        <a:prstGeom prst="rect">
          <a:avLst/>
        </a:prstGeom>
      </xdr:spPr>
    </xdr:pic>
    <xdr:clientData/>
  </xdr:oneCellAnchor>
  <xdr:twoCellAnchor>
    <xdr:from>
      <xdr:col>7</xdr:col>
      <xdr:colOff>209550</xdr:colOff>
      <xdr:row>1</xdr:row>
      <xdr:rowOff>114300</xdr:rowOff>
    </xdr:from>
    <xdr:to>
      <xdr:col>7</xdr:col>
      <xdr:colOff>655950</xdr:colOff>
      <xdr:row>3</xdr:row>
      <xdr:rowOff>85725</xdr:rowOff>
    </xdr:to>
    <xdr:sp macro="" textlink="">
      <xdr:nvSpPr>
        <xdr:cNvPr id="8" name="Up Arrow 7">
          <a:hlinkClick xmlns:r="http://schemas.openxmlformats.org/officeDocument/2006/relationships" r:id="rId6" tooltip="Back to top"/>
        </xdr:cNvPr>
        <xdr:cNvSpPr/>
      </xdr:nvSpPr>
      <xdr:spPr>
        <a:xfrm>
          <a:off x="8496300" y="409575"/>
          <a:ext cx="4464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63</xdr:row>
      <xdr:rowOff>180975</xdr:rowOff>
    </xdr:from>
    <xdr:ext cx="360000" cy="360000"/>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12096750"/>
          <a:ext cx="360000" cy="360000"/>
        </a:xfrm>
        <a:prstGeom prst="rect">
          <a:avLst/>
        </a:prstGeom>
      </xdr:spPr>
    </xdr:pic>
    <xdr:clientData/>
  </xdr:oneCellAnchor>
  <xdr:oneCellAnchor>
    <xdr:from>
      <xdr:col>1</xdr:col>
      <xdr:colOff>38100</xdr:colOff>
      <xdr:row>36</xdr:row>
      <xdr:rowOff>180975</xdr:rowOff>
    </xdr:from>
    <xdr:ext cx="360000" cy="360000"/>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7972425"/>
          <a:ext cx="360000" cy="360000"/>
        </a:xfrm>
        <a:prstGeom prst="rect">
          <a:avLst/>
        </a:prstGeom>
      </xdr:spPr>
    </xdr:pic>
    <xdr:clientData/>
  </xdr:oneCellAnchor>
  <xdr:twoCellAnchor editAs="oneCell">
    <xdr:from>
      <xdr:col>1</xdr:col>
      <xdr:colOff>38100</xdr:colOff>
      <xdr:row>22</xdr:row>
      <xdr:rowOff>0</xdr:rowOff>
    </xdr:from>
    <xdr:to>
      <xdr:col>1</xdr:col>
      <xdr:colOff>398100</xdr:colOff>
      <xdr:row>23</xdr:row>
      <xdr:rowOff>36150</xdr:rowOff>
    </xdr:to>
    <xdr:pic>
      <xdr:nvPicPr>
        <xdr:cNvPr id="11" name="Pictur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5295900"/>
          <a:ext cx="360000" cy="36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361950</xdr:colOff>
      <xdr:row>1</xdr:row>
      <xdr:rowOff>114300</xdr:rowOff>
    </xdr:from>
    <xdr:to>
      <xdr:col>5</xdr:col>
      <xdr:colOff>64500</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124200"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20</xdr:row>
      <xdr:rowOff>180975</xdr:rowOff>
    </xdr:from>
    <xdr:to>
      <xdr:col>1</xdr:col>
      <xdr:colOff>578100</xdr:colOff>
      <xdr:row>21</xdr:row>
      <xdr:rowOff>511425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4295775"/>
          <a:ext cx="540000" cy="540000"/>
        </a:xfrm>
        <a:prstGeom prst="rect">
          <a:avLst/>
        </a:prstGeom>
      </xdr:spPr>
    </xdr:pic>
    <xdr:clientData/>
  </xdr:twoCellAnchor>
  <xdr:twoCellAnchor editAs="oneCell">
    <xdr:from>
      <xdr:col>1</xdr:col>
      <xdr:colOff>47625</xdr:colOff>
      <xdr:row>25</xdr:row>
      <xdr:rowOff>85725</xdr:rowOff>
    </xdr:from>
    <xdr:to>
      <xdr:col>1</xdr:col>
      <xdr:colOff>443625</xdr:colOff>
      <xdr:row>27</xdr:row>
      <xdr:rowOff>100725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625" y="5657850"/>
          <a:ext cx="396000" cy="396000"/>
        </a:xfrm>
        <a:prstGeom prst="rect">
          <a:avLst/>
        </a:prstGeom>
      </xdr:spPr>
    </xdr:pic>
    <xdr:clientData/>
  </xdr:twoCellAnchor>
  <xdr:twoCellAnchor editAs="oneCell">
    <xdr:from>
      <xdr:col>1</xdr:col>
      <xdr:colOff>28575</xdr:colOff>
      <xdr:row>14</xdr:row>
      <xdr:rowOff>76200</xdr:rowOff>
    </xdr:from>
    <xdr:to>
      <xdr:col>1</xdr:col>
      <xdr:colOff>388575</xdr:colOff>
      <xdr:row>16</xdr:row>
      <xdr:rowOff>93300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3114675"/>
          <a:ext cx="360000" cy="360000"/>
        </a:xfrm>
        <a:prstGeom prst="rect">
          <a:avLst/>
        </a:prstGeom>
      </xdr:spPr>
    </xdr:pic>
    <xdr:clientData/>
  </xdr:twoCellAnchor>
  <xdr:twoCellAnchor>
    <xdr:from>
      <xdr:col>7</xdr:col>
      <xdr:colOff>485775</xdr:colOff>
      <xdr:row>1</xdr:row>
      <xdr:rowOff>104775</xdr:rowOff>
    </xdr:from>
    <xdr:to>
      <xdr:col>7</xdr:col>
      <xdr:colOff>933450</xdr:colOff>
      <xdr:row>3</xdr:row>
      <xdr:rowOff>76200</xdr:rowOff>
    </xdr:to>
    <xdr:sp macro="" textlink="">
      <xdr:nvSpPr>
        <xdr:cNvPr id="7" name="Up Arrow 6">
          <a:hlinkClick xmlns:r="http://schemas.openxmlformats.org/officeDocument/2006/relationships" r:id="rId6" tooltip="Back to top"/>
        </xdr:cNvPr>
        <xdr:cNvSpPr/>
      </xdr:nvSpPr>
      <xdr:spPr>
        <a:xfrm>
          <a:off x="82296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431625</xdr:colOff>
      <xdr:row>3</xdr:row>
      <xdr:rowOff>57301</xdr:rowOff>
    </xdr:to>
    <xdr:sp macro="" textlink="">
      <xdr:nvSpPr>
        <xdr:cNvPr id="4" name="Rectangle à coins arrondis 2">
          <a:hlinkClick xmlns:r="http://schemas.openxmlformats.org/officeDocument/2006/relationships" r:id="rId1" tooltip="Back to H&amp;C"/>
        </xdr:cNvPr>
        <xdr:cNvSpPr>
          <a:spLocks noChangeArrowheads="1"/>
        </xdr:cNvSpPr>
      </xdr:nvSpPr>
      <xdr:spPr bwMode="auto">
        <a:xfrm>
          <a:off x="57150" y="409576"/>
          <a:ext cx="188895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504825</xdr:colOff>
      <xdr:row>1</xdr:row>
      <xdr:rowOff>114300</xdr:rowOff>
    </xdr:from>
    <xdr:to>
      <xdr:col>3</xdr:col>
      <xdr:colOff>761625</xdr:colOff>
      <xdr:row>3</xdr:row>
      <xdr:rowOff>57300</xdr:rowOff>
    </xdr:to>
    <xdr:sp macro="" textlink="">
      <xdr:nvSpPr>
        <xdr:cNvPr id="5" name="Rectangle à coins arrondis 4">
          <a:hlinkClick xmlns:r="http://schemas.openxmlformats.org/officeDocument/2006/relationships" r:id="rId2" tooltip="Scorecard"/>
        </xdr:cNvPr>
        <xdr:cNvSpPr>
          <a:spLocks noChangeArrowheads="1"/>
        </xdr:cNvSpPr>
      </xdr:nvSpPr>
      <xdr:spPr bwMode="auto">
        <a:xfrm>
          <a:off x="2019300"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571500</xdr:colOff>
      <xdr:row>1</xdr:row>
      <xdr:rowOff>142875</xdr:rowOff>
    </xdr:from>
    <xdr:to>
      <xdr:col>5</xdr:col>
      <xdr:colOff>170775</xdr:colOff>
      <xdr:row>3</xdr:row>
      <xdr:rowOff>49875</xdr:rowOff>
    </xdr:to>
    <xdr:sp macro="" textlink="">
      <xdr:nvSpPr>
        <xdr:cNvPr id="6" name="Rectangle à coins arrondis 2">
          <a:hlinkClick xmlns:r="http://schemas.openxmlformats.org/officeDocument/2006/relationships" r:id="rId3" tooltip="Strategy A"/>
        </xdr:cNvPr>
        <xdr:cNvSpPr>
          <a:spLocks noChangeArrowheads="1"/>
        </xdr:cNvSpPr>
      </xdr:nvSpPr>
      <xdr:spPr bwMode="auto">
        <a:xfrm>
          <a:off x="4533900"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228600</xdr:colOff>
      <xdr:row>1</xdr:row>
      <xdr:rowOff>142875</xdr:rowOff>
    </xdr:from>
    <xdr:to>
      <xdr:col>5</xdr:col>
      <xdr:colOff>1056600</xdr:colOff>
      <xdr:row>3</xdr:row>
      <xdr:rowOff>49875</xdr:rowOff>
    </xdr:to>
    <xdr:sp macro="" textlink="">
      <xdr:nvSpPr>
        <xdr:cNvPr id="7" name="Rectangle à coins arrondis 2">
          <a:hlinkClick xmlns:r="http://schemas.openxmlformats.org/officeDocument/2006/relationships" r:id="rId4" tooltip="Strategy B"/>
        </xdr:cNvPr>
        <xdr:cNvSpPr>
          <a:spLocks noChangeArrowheads="1"/>
        </xdr:cNvSpPr>
      </xdr:nvSpPr>
      <xdr:spPr bwMode="auto">
        <a:xfrm>
          <a:off x="5419725"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1104899</xdr:colOff>
      <xdr:row>1</xdr:row>
      <xdr:rowOff>142875</xdr:rowOff>
    </xdr:from>
    <xdr:to>
      <xdr:col>6</xdr:col>
      <xdr:colOff>704174</xdr:colOff>
      <xdr:row>3</xdr:row>
      <xdr:rowOff>49875</xdr:rowOff>
    </xdr:to>
    <xdr:sp macro="" textlink="">
      <xdr:nvSpPr>
        <xdr:cNvPr id="8" name="Rectangle à coins arrondis 2">
          <a:hlinkClick xmlns:r="http://schemas.openxmlformats.org/officeDocument/2006/relationships" r:id="rId5" tooltip="Strategy C"/>
        </xdr:cNvPr>
        <xdr:cNvSpPr>
          <a:spLocks noChangeArrowheads="1"/>
        </xdr:cNvSpPr>
      </xdr:nvSpPr>
      <xdr:spPr bwMode="auto">
        <a:xfrm>
          <a:off x="6296024"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752474</xdr:colOff>
      <xdr:row>1</xdr:row>
      <xdr:rowOff>142875</xdr:rowOff>
    </xdr:from>
    <xdr:to>
      <xdr:col>7</xdr:col>
      <xdr:colOff>285074</xdr:colOff>
      <xdr:row>3</xdr:row>
      <xdr:rowOff>49875</xdr:rowOff>
    </xdr:to>
    <xdr:sp macro="" textlink="">
      <xdr:nvSpPr>
        <xdr:cNvPr id="9" name="Rectangle à coins arrondis 2">
          <a:hlinkClick xmlns:r="http://schemas.openxmlformats.org/officeDocument/2006/relationships" r:id="rId6" tooltip="Strategy D"/>
        </xdr:cNvPr>
        <xdr:cNvSpPr>
          <a:spLocks noChangeArrowheads="1"/>
        </xdr:cNvSpPr>
      </xdr:nvSpPr>
      <xdr:spPr bwMode="auto">
        <a:xfrm>
          <a:off x="7172324"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9525</xdr:colOff>
      <xdr:row>34</xdr:row>
      <xdr:rowOff>66675</xdr:rowOff>
    </xdr:from>
    <xdr:to>
      <xdr:col>1</xdr:col>
      <xdr:colOff>405525</xdr:colOff>
      <xdr:row>36</xdr:row>
      <xdr:rowOff>110250</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7381875"/>
          <a:ext cx="396000" cy="396000"/>
        </a:xfrm>
        <a:prstGeom prst="rect">
          <a:avLst/>
        </a:prstGeom>
      </xdr:spPr>
    </xdr:pic>
    <xdr:clientData/>
  </xdr:twoCellAnchor>
  <xdr:twoCellAnchor editAs="oneCell">
    <xdr:from>
      <xdr:col>1</xdr:col>
      <xdr:colOff>28575</xdr:colOff>
      <xdr:row>36</xdr:row>
      <xdr:rowOff>161925</xdr:rowOff>
    </xdr:from>
    <xdr:to>
      <xdr:col>1</xdr:col>
      <xdr:colOff>388575</xdr:colOff>
      <xdr:row>38</xdr:row>
      <xdr:rowOff>102825</xdr:rowOff>
    </xdr:to>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4724400"/>
          <a:ext cx="360000" cy="360000"/>
        </a:xfrm>
        <a:prstGeom prst="rect">
          <a:avLst/>
        </a:prstGeom>
      </xdr:spPr>
    </xdr:pic>
    <xdr:clientData/>
  </xdr:twoCellAnchor>
  <xdr:oneCellAnchor>
    <xdr:from>
      <xdr:col>1</xdr:col>
      <xdr:colOff>38100</xdr:colOff>
      <xdr:row>38</xdr:row>
      <xdr:rowOff>152400</xdr:rowOff>
    </xdr:from>
    <xdr:ext cx="360000" cy="360000"/>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5133975"/>
          <a:ext cx="360000" cy="360000"/>
        </a:xfrm>
        <a:prstGeom prst="rect">
          <a:avLst/>
        </a:prstGeom>
      </xdr:spPr>
    </xdr:pic>
    <xdr:clientData/>
  </xdr:oneCellAnchor>
  <xdr:twoCellAnchor editAs="oneCell">
    <xdr:from>
      <xdr:col>1</xdr:col>
      <xdr:colOff>28575</xdr:colOff>
      <xdr:row>20</xdr:row>
      <xdr:rowOff>171450</xdr:rowOff>
    </xdr:from>
    <xdr:to>
      <xdr:col>1</xdr:col>
      <xdr:colOff>530621</xdr:colOff>
      <xdr:row>22</xdr:row>
      <xdr:rowOff>294450</xdr:rowOff>
    </xdr:to>
    <xdr:pic>
      <xdr:nvPicPr>
        <xdr:cNvPr id="13" name="Picture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5238750"/>
          <a:ext cx="502046" cy="504000"/>
        </a:xfrm>
        <a:prstGeom prst="rect">
          <a:avLst/>
        </a:prstGeom>
      </xdr:spPr>
    </xdr:pic>
    <xdr:clientData/>
  </xdr:twoCellAnchor>
  <xdr:oneCellAnchor>
    <xdr:from>
      <xdr:col>1</xdr:col>
      <xdr:colOff>28575</xdr:colOff>
      <xdr:row>25</xdr:row>
      <xdr:rowOff>133350</xdr:rowOff>
    </xdr:from>
    <xdr:ext cx="502046" cy="504000"/>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900" y="4543425"/>
          <a:ext cx="502046" cy="504000"/>
        </a:xfrm>
        <a:prstGeom prst="rect">
          <a:avLst/>
        </a:prstGeom>
      </xdr:spPr>
    </xdr:pic>
    <xdr:clientData/>
  </xdr:oneCellAnchor>
  <xdr:oneCellAnchor>
    <xdr:from>
      <xdr:col>1</xdr:col>
      <xdr:colOff>9525</xdr:colOff>
      <xdr:row>140</xdr:row>
      <xdr:rowOff>85725</xdr:rowOff>
    </xdr:from>
    <xdr:ext cx="396000" cy="396000"/>
    <xdr:pic>
      <xdr:nvPicPr>
        <xdr:cNvPr id="16" name="Picture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23879175"/>
          <a:ext cx="396000" cy="396000"/>
        </a:xfrm>
        <a:prstGeom prst="rect">
          <a:avLst/>
        </a:prstGeom>
      </xdr:spPr>
    </xdr:pic>
    <xdr:clientData/>
  </xdr:oneCellAnchor>
  <xdr:oneCellAnchor>
    <xdr:from>
      <xdr:col>1</xdr:col>
      <xdr:colOff>19050</xdr:colOff>
      <xdr:row>142</xdr:row>
      <xdr:rowOff>142875</xdr:rowOff>
    </xdr:from>
    <xdr:ext cx="394466" cy="396000"/>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24603075"/>
          <a:ext cx="394466" cy="396000"/>
        </a:xfrm>
        <a:prstGeom prst="rect">
          <a:avLst/>
        </a:prstGeom>
      </xdr:spPr>
    </xdr:pic>
    <xdr:clientData/>
  </xdr:oneCellAnchor>
  <xdr:oneCellAnchor>
    <xdr:from>
      <xdr:col>1</xdr:col>
      <xdr:colOff>38100</xdr:colOff>
      <xdr:row>144</xdr:row>
      <xdr:rowOff>161925</xdr:rowOff>
    </xdr:from>
    <xdr:ext cx="360000" cy="360000"/>
    <xdr:pic>
      <xdr:nvPicPr>
        <xdr:cNvPr id="18"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25041225"/>
          <a:ext cx="360000" cy="360000"/>
        </a:xfrm>
        <a:prstGeom prst="rect">
          <a:avLst/>
        </a:prstGeom>
      </xdr:spPr>
    </xdr:pic>
    <xdr:clientData/>
  </xdr:oneCellAnchor>
  <xdr:oneCellAnchor>
    <xdr:from>
      <xdr:col>1</xdr:col>
      <xdr:colOff>0</xdr:colOff>
      <xdr:row>69</xdr:row>
      <xdr:rowOff>47625</xdr:rowOff>
    </xdr:from>
    <xdr:ext cx="396000" cy="396000"/>
    <xdr:pic>
      <xdr:nvPicPr>
        <xdr:cNvPr id="19" name="Picture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14335125"/>
          <a:ext cx="396000" cy="396000"/>
        </a:xfrm>
        <a:prstGeom prst="rect">
          <a:avLst/>
        </a:prstGeom>
      </xdr:spPr>
    </xdr:pic>
    <xdr:clientData/>
  </xdr:oneCellAnchor>
  <xdr:oneCellAnchor>
    <xdr:from>
      <xdr:col>1</xdr:col>
      <xdr:colOff>28575</xdr:colOff>
      <xdr:row>71</xdr:row>
      <xdr:rowOff>161925</xdr:rowOff>
    </xdr:from>
    <xdr:ext cx="360000" cy="360000"/>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7419975"/>
          <a:ext cx="360000" cy="360000"/>
        </a:xfrm>
        <a:prstGeom prst="rect">
          <a:avLst/>
        </a:prstGeom>
      </xdr:spPr>
    </xdr:pic>
    <xdr:clientData/>
  </xdr:oneCellAnchor>
  <xdr:oneCellAnchor>
    <xdr:from>
      <xdr:col>1</xdr:col>
      <xdr:colOff>38100</xdr:colOff>
      <xdr:row>73</xdr:row>
      <xdr:rowOff>152400</xdr:rowOff>
    </xdr:from>
    <xdr:ext cx="360000" cy="360000"/>
    <xdr:pic>
      <xdr:nvPicPr>
        <xdr:cNvPr id="21"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7829550"/>
          <a:ext cx="360000" cy="360000"/>
        </a:xfrm>
        <a:prstGeom prst="rect">
          <a:avLst/>
        </a:prstGeom>
      </xdr:spPr>
    </xdr:pic>
    <xdr:clientData/>
  </xdr:oneCellAnchor>
  <xdr:oneCellAnchor>
    <xdr:from>
      <xdr:col>1</xdr:col>
      <xdr:colOff>9525</xdr:colOff>
      <xdr:row>104</xdr:row>
      <xdr:rowOff>57150</xdr:rowOff>
    </xdr:from>
    <xdr:ext cx="396000" cy="396000"/>
    <xdr:pic>
      <xdr:nvPicPr>
        <xdr:cNvPr id="22" name="Pictur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12963525"/>
          <a:ext cx="396000" cy="396000"/>
        </a:xfrm>
        <a:prstGeom prst="rect">
          <a:avLst/>
        </a:prstGeom>
      </xdr:spPr>
    </xdr:pic>
    <xdr:clientData/>
  </xdr:oneCellAnchor>
  <xdr:oneCellAnchor>
    <xdr:from>
      <xdr:col>1</xdr:col>
      <xdr:colOff>28575</xdr:colOff>
      <xdr:row>107</xdr:row>
      <xdr:rowOff>19050</xdr:rowOff>
    </xdr:from>
    <xdr:ext cx="360000" cy="360000"/>
    <xdr:pic>
      <xdr:nvPicPr>
        <xdr:cNvPr id="23" name="Picture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9573875"/>
          <a:ext cx="360000" cy="360000"/>
        </a:xfrm>
        <a:prstGeom prst="rect">
          <a:avLst/>
        </a:prstGeom>
      </xdr:spPr>
    </xdr:pic>
    <xdr:clientData/>
  </xdr:oneCellAnchor>
  <xdr:oneCellAnchor>
    <xdr:from>
      <xdr:col>1</xdr:col>
      <xdr:colOff>38100</xdr:colOff>
      <xdr:row>109</xdr:row>
      <xdr:rowOff>152400</xdr:rowOff>
    </xdr:from>
    <xdr:ext cx="360000" cy="360000"/>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13820775"/>
          <a:ext cx="360000" cy="360000"/>
        </a:xfrm>
        <a:prstGeom prst="rect">
          <a:avLst/>
        </a:prstGeom>
      </xdr:spPr>
    </xdr:pic>
    <xdr:clientData/>
  </xdr:oneCellAnchor>
  <xdr:twoCellAnchor>
    <xdr:from>
      <xdr:col>7</xdr:col>
      <xdr:colOff>1219200</xdr:colOff>
      <xdr:row>1</xdr:row>
      <xdr:rowOff>104775</xdr:rowOff>
    </xdr:from>
    <xdr:to>
      <xdr:col>8</xdr:col>
      <xdr:colOff>138825</xdr:colOff>
      <xdr:row>3</xdr:row>
      <xdr:rowOff>76200</xdr:rowOff>
    </xdr:to>
    <xdr:sp macro="" textlink="">
      <xdr:nvSpPr>
        <xdr:cNvPr id="25" name="Up Arrow 24">
          <a:hlinkClick xmlns:r="http://schemas.openxmlformats.org/officeDocument/2006/relationships" r:id="rId11" tooltip="Back to top"/>
        </xdr:cNvPr>
        <xdr:cNvSpPr/>
      </xdr:nvSpPr>
      <xdr:spPr>
        <a:xfrm>
          <a:off x="8934450" y="400050"/>
          <a:ext cx="396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923925</xdr:colOff>
      <xdr:row>1</xdr:row>
      <xdr:rowOff>142875</xdr:rowOff>
    </xdr:from>
    <xdr:to>
      <xdr:col>4</xdr:col>
      <xdr:colOff>523200</xdr:colOff>
      <xdr:row>3</xdr:row>
      <xdr:rowOff>49875</xdr:rowOff>
    </xdr:to>
    <xdr:sp macro="" textlink="">
      <xdr:nvSpPr>
        <xdr:cNvPr id="26" name="Rectangle à coins arrondis 2">
          <a:hlinkClick xmlns:r="http://schemas.openxmlformats.org/officeDocument/2006/relationships" r:id="rId12" tooltip="Glossary of the credit"/>
        </xdr:cNvPr>
        <xdr:cNvSpPr>
          <a:spLocks noChangeArrowheads="1"/>
        </xdr:cNvSpPr>
      </xdr:nvSpPr>
      <xdr:spPr bwMode="auto">
        <a:xfrm>
          <a:off x="3657600"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7</xdr:col>
      <xdr:colOff>323849</xdr:colOff>
      <xdr:row>1</xdr:row>
      <xdr:rowOff>142875</xdr:rowOff>
    </xdr:from>
    <xdr:to>
      <xdr:col>7</xdr:col>
      <xdr:colOff>1151849</xdr:colOff>
      <xdr:row>3</xdr:row>
      <xdr:rowOff>49875</xdr:rowOff>
    </xdr:to>
    <xdr:sp macro="" textlink="">
      <xdr:nvSpPr>
        <xdr:cNvPr id="27" name="Rectangle à coins arrondis 2">
          <a:hlinkClick xmlns:r="http://schemas.openxmlformats.org/officeDocument/2006/relationships" r:id="rId13" tooltip="Strategy D"/>
        </xdr:cNvPr>
        <xdr:cNvSpPr>
          <a:spLocks noChangeArrowheads="1"/>
        </xdr:cNvSpPr>
      </xdr:nvSpPr>
      <xdr:spPr bwMode="auto">
        <a:xfrm>
          <a:off x="8039099" y="438150"/>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oneCellAnchor>
    <xdr:from>
      <xdr:col>1</xdr:col>
      <xdr:colOff>9525</xdr:colOff>
      <xdr:row>175</xdr:row>
      <xdr:rowOff>57150</xdr:rowOff>
    </xdr:from>
    <xdr:ext cx="396000" cy="396000"/>
    <xdr:pic>
      <xdr:nvPicPr>
        <xdr:cNvPr id="28" name="Picture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23145750"/>
          <a:ext cx="396000" cy="396000"/>
        </a:xfrm>
        <a:prstGeom prst="rect">
          <a:avLst/>
        </a:prstGeom>
      </xdr:spPr>
    </xdr:pic>
    <xdr:clientData/>
  </xdr:oneCellAnchor>
  <xdr:oneCellAnchor>
    <xdr:from>
      <xdr:col>1</xdr:col>
      <xdr:colOff>47625</xdr:colOff>
      <xdr:row>177</xdr:row>
      <xdr:rowOff>200025</xdr:rowOff>
    </xdr:from>
    <xdr:ext cx="360000" cy="360000"/>
    <xdr:pic>
      <xdr:nvPicPr>
        <xdr:cNvPr id="29" name="Picture 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39747825"/>
          <a:ext cx="360000" cy="360000"/>
        </a:xfrm>
        <a:prstGeom prst="rect">
          <a:avLst/>
        </a:prstGeom>
      </xdr:spPr>
    </xdr:pic>
    <xdr:clientData/>
  </xdr:oneCellAnchor>
  <xdr:oneCellAnchor>
    <xdr:from>
      <xdr:col>1</xdr:col>
      <xdr:colOff>38100</xdr:colOff>
      <xdr:row>180</xdr:row>
      <xdr:rowOff>47625</xdr:rowOff>
    </xdr:from>
    <xdr:ext cx="360000" cy="360000"/>
    <xdr:pic>
      <xdr:nvPicPr>
        <xdr:cNvPr id="30" name="Picture 2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40214550"/>
          <a:ext cx="360000" cy="36000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171450</xdr:colOff>
      <xdr:row>1</xdr:row>
      <xdr:rowOff>114300</xdr:rowOff>
    </xdr:from>
    <xdr:to>
      <xdr:col>4</xdr:col>
      <xdr:colOff>922725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67050"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676275</xdr:colOff>
      <xdr:row>5</xdr:row>
      <xdr:rowOff>76200</xdr:rowOff>
    </xdr:from>
    <xdr:to>
      <xdr:col>7</xdr:col>
      <xdr:colOff>431325</xdr:colOff>
      <xdr:row>6</xdr:row>
      <xdr:rowOff>80550</xdr:rowOff>
    </xdr:to>
    <xdr:sp macro="" textlink="">
      <xdr:nvSpPr>
        <xdr:cNvPr id="4" name="Rectangle à coins arrondis 2">
          <a:hlinkClick xmlns:r="http://schemas.openxmlformats.org/officeDocument/2006/relationships" r:id="rId3" tooltip="Option A"/>
        </xdr:cNvPr>
        <xdr:cNvSpPr>
          <a:spLocks noChangeArrowheads="1"/>
        </xdr:cNvSpPr>
      </xdr:nvSpPr>
      <xdr:spPr bwMode="auto">
        <a:xfrm>
          <a:off x="7258050" y="1209675"/>
          <a:ext cx="126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638175</xdr:colOff>
      <xdr:row>5</xdr:row>
      <xdr:rowOff>76200</xdr:rowOff>
    </xdr:from>
    <xdr:to>
      <xdr:col>8</xdr:col>
      <xdr:colOff>383700</xdr:colOff>
      <xdr:row>6</xdr:row>
      <xdr:rowOff>80550</xdr:rowOff>
    </xdr:to>
    <xdr:sp macro="" textlink="">
      <xdr:nvSpPr>
        <xdr:cNvPr id="5" name="Rectangle à coins arrondis 2">
          <a:hlinkClick xmlns:r="http://schemas.openxmlformats.org/officeDocument/2006/relationships" r:id="rId4" tooltip="Option B"/>
        </xdr:cNvPr>
        <xdr:cNvSpPr>
          <a:spLocks noChangeArrowheads="1"/>
        </xdr:cNvSpPr>
      </xdr:nvSpPr>
      <xdr:spPr bwMode="auto">
        <a:xfrm>
          <a:off x="8724900" y="1209675"/>
          <a:ext cx="1260000" cy="271050"/>
        </a:xfrm>
        <a:prstGeom prst="roundRect">
          <a:avLst>
            <a:gd name="adj" fmla="val 16667"/>
          </a:avLst>
        </a:prstGeom>
        <a:solidFill>
          <a:schemeClr val="accent2">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6</xdr:col>
      <xdr:colOff>190500</xdr:colOff>
      <xdr:row>5</xdr:row>
      <xdr:rowOff>85725</xdr:rowOff>
    </xdr:from>
    <xdr:to>
      <xdr:col>6</xdr:col>
      <xdr:colOff>514500</xdr:colOff>
      <xdr:row>6</xdr:row>
      <xdr:rowOff>90075</xdr:rowOff>
    </xdr:to>
    <xdr:sp macro="" textlink="">
      <xdr:nvSpPr>
        <xdr:cNvPr id="6" name="Flèche droite 6"/>
        <xdr:cNvSpPr/>
      </xdr:nvSpPr>
      <xdr:spPr>
        <a:xfrm>
          <a:off x="6772275" y="1219200"/>
          <a:ext cx="324000" cy="271050"/>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47625</xdr:colOff>
      <xdr:row>24</xdr:row>
      <xdr:rowOff>123825</xdr:rowOff>
    </xdr:from>
    <xdr:to>
      <xdr:col>1</xdr:col>
      <xdr:colOff>587625</xdr:colOff>
      <xdr:row>27</xdr:row>
      <xdr:rowOff>92325</xdr:rowOff>
    </xdr:to>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625" y="5391150"/>
          <a:ext cx="540000" cy="540000"/>
        </a:xfrm>
        <a:prstGeom prst="rect">
          <a:avLst/>
        </a:prstGeom>
      </xdr:spPr>
    </xdr:pic>
    <xdr:clientData/>
  </xdr:twoCellAnchor>
  <xdr:twoCellAnchor editAs="oneCell">
    <xdr:from>
      <xdr:col>1</xdr:col>
      <xdr:colOff>38100</xdr:colOff>
      <xdr:row>34</xdr:row>
      <xdr:rowOff>85725</xdr:rowOff>
    </xdr:from>
    <xdr:to>
      <xdr:col>1</xdr:col>
      <xdr:colOff>434100</xdr:colOff>
      <xdr:row>36</xdr:row>
      <xdr:rowOff>100725</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 y="7429500"/>
          <a:ext cx="396000" cy="396000"/>
        </a:xfrm>
        <a:prstGeom prst="rect">
          <a:avLst/>
        </a:prstGeom>
      </xdr:spPr>
    </xdr:pic>
    <xdr:clientData/>
  </xdr:twoCellAnchor>
  <xdr:oneCellAnchor>
    <xdr:from>
      <xdr:col>1</xdr:col>
      <xdr:colOff>57150</xdr:colOff>
      <xdr:row>71</xdr:row>
      <xdr:rowOff>85725</xdr:rowOff>
    </xdr:from>
    <xdr:ext cx="396000" cy="396000"/>
    <xdr:pic>
      <xdr:nvPicPr>
        <xdr:cNvPr id="15" name="Pictur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14620875"/>
          <a:ext cx="396000" cy="396000"/>
        </a:xfrm>
        <a:prstGeom prst="rect">
          <a:avLst/>
        </a:prstGeom>
      </xdr:spPr>
    </xdr:pic>
    <xdr:clientData/>
  </xdr:oneCellAnchor>
  <xdr:twoCellAnchor editAs="oneCell">
    <xdr:from>
      <xdr:col>1</xdr:col>
      <xdr:colOff>47625</xdr:colOff>
      <xdr:row>67</xdr:row>
      <xdr:rowOff>85725</xdr:rowOff>
    </xdr:from>
    <xdr:to>
      <xdr:col>1</xdr:col>
      <xdr:colOff>443625</xdr:colOff>
      <xdr:row>69</xdr:row>
      <xdr:rowOff>100725</xdr:rowOff>
    </xdr:to>
    <xdr:pic>
      <xdr:nvPicPr>
        <xdr:cNvPr id="7" name="Pictur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14554200"/>
          <a:ext cx="396000" cy="396000"/>
        </a:xfrm>
        <a:prstGeom prst="rect">
          <a:avLst/>
        </a:prstGeom>
      </xdr:spPr>
    </xdr:pic>
    <xdr:clientData/>
  </xdr:twoCellAnchor>
  <xdr:twoCellAnchor editAs="oneCell">
    <xdr:from>
      <xdr:col>1</xdr:col>
      <xdr:colOff>47625</xdr:colOff>
      <xdr:row>69</xdr:row>
      <xdr:rowOff>180975</xdr:rowOff>
    </xdr:from>
    <xdr:to>
      <xdr:col>1</xdr:col>
      <xdr:colOff>443625</xdr:colOff>
      <xdr:row>71</xdr:row>
      <xdr:rowOff>43575</xdr:rowOff>
    </xdr:to>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4706600"/>
          <a:ext cx="396000" cy="396000"/>
        </a:xfrm>
        <a:prstGeom prst="rect">
          <a:avLst/>
        </a:prstGeom>
      </xdr:spPr>
    </xdr:pic>
    <xdr:clientData/>
  </xdr:twoCellAnchor>
  <xdr:twoCellAnchor editAs="oneCell">
    <xdr:from>
      <xdr:col>1</xdr:col>
      <xdr:colOff>28575</xdr:colOff>
      <xdr:row>19</xdr:row>
      <xdr:rowOff>85725</xdr:rowOff>
    </xdr:from>
    <xdr:to>
      <xdr:col>1</xdr:col>
      <xdr:colOff>388575</xdr:colOff>
      <xdr:row>21</xdr:row>
      <xdr:rowOff>102825</xdr:rowOff>
    </xdr:to>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4476750"/>
          <a:ext cx="360000" cy="360000"/>
        </a:xfrm>
        <a:prstGeom prst="rect">
          <a:avLst/>
        </a:prstGeom>
      </xdr:spPr>
    </xdr:pic>
    <xdr:clientData/>
  </xdr:twoCellAnchor>
  <xdr:twoCellAnchor>
    <xdr:from>
      <xdr:col>7</xdr:col>
      <xdr:colOff>457200</xdr:colOff>
      <xdr:row>1</xdr:row>
      <xdr:rowOff>104775</xdr:rowOff>
    </xdr:from>
    <xdr:to>
      <xdr:col>7</xdr:col>
      <xdr:colOff>904875</xdr:colOff>
      <xdr:row>3</xdr:row>
      <xdr:rowOff>76200</xdr:rowOff>
    </xdr:to>
    <xdr:sp macro="" textlink="">
      <xdr:nvSpPr>
        <xdr:cNvPr id="16" name="Up Arrow 15">
          <a:hlinkClick xmlns:r="http://schemas.openxmlformats.org/officeDocument/2006/relationships" r:id="rId10" tooltip="Back to top"/>
        </xdr:cNvPr>
        <xdr:cNvSpPr/>
      </xdr:nvSpPr>
      <xdr:spPr>
        <a:xfrm>
          <a:off x="85439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30</xdr:row>
      <xdr:rowOff>114300</xdr:rowOff>
    </xdr:from>
    <xdr:to>
      <xdr:col>1</xdr:col>
      <xdr:colOff>379050</xdr:colOff>
      <xdr:row>32</xdr:row>
      <xdr:rowOff>93300</xdr:rowOff>
    </xdr:to>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6696075"/>
          <a:ext cx="360000" cy="36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352425</xdr:colOff>
      <xdr:row>1</xdr:row>
      <xdr:rowOff>114300</xdr:rowOff>
    </xdr:from>
    <xdr:to>
      <xdr:col>5</xdr:col>
      <xdr:colOff>54975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114675"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17</xdr:row>
      <xdr:rowOff>76200</xdr:rowOff>
    </xdr:from>
    <xdr:to>
      <xdr:col>1</xdr:col>
      <xdr:colOff>489150</xdr:colOff>
      <xdr:row>19</xdr:row>
      <xdr:rowOff>127200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3619500"/>
          <a:ext cx="432000" cy="432000"/>
        </a:xfrm>
        <a:prstGeom prst="rect">
          <a:avLst/>
        </a:prstGeom>
      </xdr:spPr>
    </xdr:pic>
    <xdr:clientData/>
  </xdr:twoCellAnchor>
  <xdr:twoCellAnchor editAs="oneCell">
    <xdr:from>
      <xdr:col>1</xdr:col>
      <xdr:colOff>38100</xdr:colOff>
      <xdr:row>21</xdr:row>
      <xdr:rowOff>161925</xdr:rowOff>
    </xdr:from>
    <xdr:to>
      <xdr:col>1</xdr:col>
      <xdr:colOff>398100</xdr:colOff>
      <xdr:row>23</xdr:row>
      <xdr:rowOff>64725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76725"/>
          <a:ext cx="360000" cy="360000"/>
        </a:xfrm>
        <a:prstGeom prst="rect">
          <a:avLst/>
        </a:prstGeom>
      </xdr:spPr>
    </xdr:pic>
    <xdr:clientData/>
  </xdr:twoCellAnchor>
  <xdr:twoCellAnchor editAs="oneCell">
    <xdr:from>
      <xdr:col>1</xdr:col>
      <xdr:colOff>38100</xdr:colOff>
      <xdr:row>14</xdr:row>
      <xdr:rowOff>85725</xdr:rowOff>
    </xdr:from>
    <xdr:to>
      <xdr:col>1</xdr:col>
      <xdr:colOff>398100</xdr:colOff>
      <xdr:row>16</xdr:row>
      <xdr:rowOff>102825</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3124200"/>
          <a:ext cx="360000" cy="360000"/>
        </a:xfrm>
        <a:prstGeom prst="rect">
          <a:avLst/>
        </a:prstGeom>
      </xdr:spPr>
    </xdr:pic>
    <xdr:clientData/>
  </xdr:twoCellAnchor>
  <xdr:twoCellAnchor>
    <xdr:from>
      <xdr:col>7</xdr:col>
      <xdr:colOff>485775</xdr:colOff>
      <xdr:row>1</xdr:row>
      <xdr:rowOff>104775</xdr:rowOff>
    </xdr:from>
    <xdr:to>
      <xdr:col>7</xdr:col>
      <xdr:colOff>933450</xdr:colOff>
      <xdr:row>3</xdr:row>
      <xdr:rowOff>76200</xdr:rowOff>
    </xdr:to>
    <xdr:sp macro="" textlink="">
      <xdr:nvSpPr>
        <xdr:cNvPr id="7" name="Up Arrow 6">
          <a:hlinkClick xmlns:r="http://schemas.openxmlformats.org/officeDocument/2006/relationships" r:id="rId5" tooltip="Back to top"/>
        </xdr:cNvPr>
        <xdr:cNvSpPr/>
      </xdr:nvSpPr>
      <xdr:spPr>
        <a:xfrm>
          <a:off x="83820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352424</xdr:colOff>
      <xdr:row>1</xdr:row>
      <xdr:rowOff>123826</xdr:rowOff>
    </xdr:from>
    <xdr:to>
      <xdr:col>2</xdr:col>
      <xdr:colOff>816974</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4"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19050</xdr:colOff>
      <xdr:row>1</xdr:row>
      <xdr:rowOff>114300</xdr:rowOff>
    </xdr:from>
    <xdr:to>
      <xdr:col>4</xdr:col>
      <xdr:colOff>770325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38475"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14</xdr:row>
      <xdr:rowOff>66675</xdr:rowOff>
    </xdr:from>
    <xdr:to>
      <xdr:col>1</xdr:col>
      <xdr:colOff>396000</xdr:colOff>
      <xdr:row>16</xdr:row>
      <xdr:rowOff>119775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19450"/>
          <a:ext cx="396000" cy="396000"/>
        </a:xfrm>
        <a:prstGeom prst="rect">
          <a:avLst/>
        </a:prstGeom>
      </xdr:spPr>
    </xdr:pic>
    <xdr:clientData/>
  </xdr:twoCellAnchor>
  <xdr:twoCellAnchor editAs="oneCell">
    <xdr:from>
      <xdr:col>1</xdr:col>
      <xdr:colOff>28575</xdr:colOff>
      <xdr:row>19</xdr:row>
      <xdr:rowOff>57150</xdr:rowOff>
    </xdr:from>
    <xdr:to>
      <xdr:col>1</xdr:col>
      <xdr:colOff>530621</xdr:colOff>
      <xdr:row>21</xdr:row>
      <xdr:rowOff>180150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4162425"/>
          <a:ext cx="502046" cy="504000"/>
        </a:xfrm>
        <a:prstGeom prst="rect">
          <a:avLst/>
        </a:prstGeom>
      </xdr:spPr>
    </xdr:pic>
    <xdr:clientData/>
  </xdr:twoCellAnchor>
  <xdr:twoCellAnchor editAs="oneCell">
    <xdr:from>
      <xdr:col>1</xdr:col>
      <xdr:colOff>28575</xdr:colOff>
      <xdr:row>25</xdr:row>
      <xdr:rowOff>104775</xdr:rowOff>
    </xdr:from>
    <xdr:to>
      <xdr:col>1</xdr:col>
      <xdr:colOff>388575</xdr:colOff>
      <xdr:row>27</xdr:row>
      <xdr:rowOff>83775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5353050"/>
          <a:ext cx="360000" cy="360000"/>
        </a:xfrm>
        <a:prstGeom prst="rect">
          <a:avLst/>
        </a:prstGeom>
      </xdr:spPr>
    </xdr:pic>
    <xdr:clientData/>
  </xdr:twoCellAnchor>
  <xdr:twoCellAnchor>
    <xdr:from>
      <xdr:col>7</xdr:col>
      <xdr:colOff>66675</xdr:colOff>
      <xdr:row>1</xdr:row>
      <xdr:rowOff>104775</xdr:rowOff>
    </xdr:from>
    <xdr:to>
      <xdr:col>7</xdr:col>
      <xdr:colOff>514350</xdr:colOff>
      <xdr:row>3</xdr:row>
      <xdr:rowOff>76200</xdr:rowOff>
    </xdr:to>
    <xdr:sp macro="" textlink="">
      <xdr:nvSpPr>
        <xdr:cNvPr id="8" name="Up Arrow 7">
          <a:hlinkClick xmlns:r="http://schemas.openxmlformats.org/officeDocument/2006/relationships" r:id="rId6" tooltip="Back to top"/>
        </xdr:cNvPr>
        <xdr:cNvSpPr/>
      </xdr:nvSpPr>
      <xdr:spPr>
        <a:xfrm>
          <a:off x="82772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561975</xdr:colOff>
      <xdr:row>30</xdr:row>
      <xdr:rowOff>133350</xdr:rowOff>
    </xdr:from>
    <xdr:to>
      <xdr:col>17</xdr:col>
      <xdr:colOff>0</xdr:colOff>
      <xdr:row>33</xdr:row>
      <xdr:rowOff>57150</xdr:rowOff>
    </xdr:to>
    <xdr:sp macro="" textlink="">
      <xdr:nvSpPr>
        <xdr:cNvPr id="17" name="Rectangle à coins arrondis 2">
          <a:hlinkClick xmlns:r="http://schemas.openxmlformats.org/officeDocument/2006/relationships" r:id="rId1" tooltip="Resources"/>
        </xdr:cNvPr>
        <xdr:cNvSpPr>
          <a:spLocks noChangeArrowheads="1"/>
        </xdr:cNvSpPr>
      </xdr:nvSpPr>
      <xdr:spPr bwMode="auto">
        <a:xfrm>
          <a:off x="7981950" y="6315075"/>
          <a:ext cx="3619500" cy="4953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 in the daylight factor calculation</a:t>
          </a:r>
        </a:p>
      </xdr:txBody>
    </xdr:sp>
    <xdr:clientData/>
  </xdr:twoCellAnchor>
  <xdr:twoCellAnchor>
    <xdr:from>
      <xdr:col>0</xdr:col>
      <xdr:colOff>371475</xdr:colOff>
      <xdr:row>1</xdr:row>
      <xdr:rowOff>123826</xdr:rowOff>
    </xdr:from>
    <xdr:to>
      <xdr:col>3</xdr:col>
      <xdr:colOff>54975</xdr:colOff>
      <xdr:row>3</xdr:row>
      <xdr:rowOff>66826</xdr:rowOff>
    </xdr:to>
    <xdr:sp macro="" textlink="">
      <xdr:nvSpPr>
        <xdr:cNvPr id="6" name="Rectangle à coins arrondis 2">
          <a:hlinkClick xmlns:r="http://schemas.openxmlformats.org/officeDocument/2006/relationships" r:id="rId2" tooltip="Back to H&amp;C"/>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781050</xdr:colOff>
      <xdr:row>1</xdr:row>
      <xdr:rowOff>114300</xdr:rowOff>
    </xdr:from>
    <xdr:to>
      <xdr:col>6</xdr:col>
      <xdr:colOff>531225</xdr:colOff>
      <xdr:row>3</xdr:row>
      <xdr:rowOff>57300</xdr:rowOff>
    </xdr:to>
    <xdr:sp macro="" textlink="">
      <xdr:nvSpPr>
        <xdr:cNvPr id="7" name="Rectangle à coins arrondis 2">
          <a:hlinkClick xmlns:r="http://schemas.openxmlformats.org/officeDocument/2006/relationships" r:id="rId3" tooltip="Scorecard"/>
        </xdr:cNvPr>
        <xdr:cNvSpPr>
          <a:spLocks noChangeArrowheads="1"/>
        </xdr:cNvSpPr>
      </xdr:nvSpPr>
      <xdr:spPr bwMode="auto">
        <a:xfrm>
          <a:off x="3257550"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17</xdr:row>
      <xdr:rowOff>57151</xdr:rowOff>
    </xdr:from>
    <xdr:to>
      <xdr:col>1</xdr:col>
      <xdr:colOff>460575</xdr:colOff>
      <xdr:row>19</xdr:row>
      <xdr:rowOff>109832</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914776"/>
          <a:ext cx="432000" cy="433681"/>
        </a:xfrm>
        <a:prstGeom prst="rect">
          <a:avLst/>
        </a:prstGeom>
      </xdr:spPr>
    </xdr:pic>
    <xdr:clientData/>
  </xdr:twoCellAnchor>
  <xdr:twoCellAnchor editAs="oneCell">
    <xdr:from>
      <xdr:col>1</xdr:col>
      <xdr:colOff>38100</xdr:colOff>
      <xdr:row>22</xdr:row>
      <xdr:rowOff>0</xdr:rowOff>
    </xdr:from>
    <xdr:to>
      <xdr:col>1</xdr:col>
      <xdr:colOff>506100</xdr:colOff>
      <xdr:row>24</xdr:row>
      <xdr:rowOff>48900</xdr:rowOff>
    </xdr:to>
    <xdr:pic>
      <xdr:nvPicPr>
        <xdr:cNvPr id="2" name="Picture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9100" y="4733925"/>
          <a:ext cx="468000" cy="468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9" name="Pictur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3381375"/>
          <a:ext cx="396000" cy="396000"/>
        </a:xfrm>
        <a:prstGeom prst="rect">
          <a:avLst/>
        </a:prstGeom>
      </xdr:spPr>
    </xdr:pic>
    <xdr:clientData/>
  </xdr:twoCellAnchor>
  <xdr:twoCellAnchor editAs="oneCell">
    <xdr:from>
      <xdr:col>1</xdr:col>
      <xdr:colOff>28575</xdr:colOff>
      <xdr:row>27</xdr:row>
      <xdr:rowOff>123825</xdr:rowOff>
    </xdr:from>
    <xdr:to>
      <xdr:col>1</xdr:col>
      <xdr:colOff>388575</xdr:colOff>
      <xdr:row>29</xdr:row>
      <xdr:rowOff>83775</xdr:rowOff>
    </xdr:to>
    <xdr:pic>
      <xdr:nvPicPr>
        <xdr:cNvPr id="3" name="Picture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5962650"/>
          <a:ext cx="360000" cy="360000"/>
        </a:xfrm>
        <a:prstGeom prst="rect">
          <a:avLst/>
        </a:prstGeom>
      </xdr:spPr>
    </xdr:pic>
    <xdr:clientData/>
  </xdr:twoCellAnchor>
  <xdr:twoCellAnchor>
    <xdr:from>
      <xdr:col>11</xdr:col>
      <xdr:colOff>0</xdr:colOff>
      <xdr:row>1</xdr:row>
      <xdr:rowOff>114300</xdr:rowOff>
    </xdr:from>
    <xdr:to>
      <xdr:col>11</xdr:col>
      <xdr:colOff>447675</xdr:colOff>
      <xdr:row>3</xdr:row>
      <xdr:rowOff>85725</xdr:rowOff>
    </xdr:to>
    <xdr:sp macro="" textlink="">
      <xdr:nvSpPr>
        <xdr:cNvPr id="11" name="Up Arrow 10">
          <a:hlinkClick xmlns:r="http://schemas.openxmlformats.org/officeDocument/2006/relationships" r:id="rId8" tooltip="Back to top"/>
        </xdr:cNvPr>
        <xdr:cNvSpPr/>
      </xdr:nvSpPr>
      <xdr:spPr>
        <a:xfrm>
          <a:off x="8067675" y="40957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38100</xdr:colOff>
      <xdr:row>29</xdr:row>
      <xdr:rowOff>123825</xdr:rowOff>
    </xdr:from>
    <xdr:to>
      <xdr:col>1</xdr:col>
      <xdr:colOff>398100</xdr:colOff>
      <xdr:row>31</xdr:row>
      <xdr:rowOff>93300</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 y="6153150"/>
          <a:ext cx="360000" cy="36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371475</xdr:colOff>
      <xdr:row>1</xdr:row>
      <xdr:rowOff>123826</xdr:rowOff>
    </xdr:from>
    <xdr:to>
      <xdr:col>2</xdr:col>
      <xdr:colOff>902700</xdr:colOff>
      <xdr:row>3</xdr:row>
      <xdr:rowOff>66826</xdr:rowOff>
    </xdr:to>
    <xdr:sp macro="" textlink="">
      <xdr:nvSpPr>
        <xdr:cNvPr id="3" name="Rectangle à coins arrondis 2">
          <a:hlinkClick xmlns:r="http://schemas.openxmlformats.org/officeDocument/2006/relationships" r:id="rId1" tooltip="Back to H&amp;C"/>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1238249</xdr:colOff>
      <xdr:row>1</xdr:row>
      <xdr:rowOff>114300</xdr:rowOff>
    </xdr:from>
    <xdr:to>
      <xdr:col>4</xdr:col>
      <xdr:colOff>455999</xdr:colOff>
      <xdr:row>3</xdr:row>
      <xdr:rowOff>57300</xdr:rowOff>
    </xdr:to>
    <xdr:sp macro="" textlink="">
      <xdr:nvSpPr>
        <xdr:cNvPr id="4" name="Rectangle à coins arrondis 2">
          <a:hlinkClick xmlns:r="http://schemas.openxmlformats.org/officeDocument/2006/relationships" r:id="rId2" tooltip="Scorecard"/>
        </xdr:cNvPr>
        <xdr:cNvSpPr>
          <a:spLocks noChangeArrowheads="1"/>
        </xdr:cNvSpPr>
      </xdr:nvSpPr>
      <xdr:spPr bwMode="auto">
        <a:xfrm>
          <a:off x="2867024"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1190625</xdr:colOff>
      <xdr:row>1</xdr:row>
      <xdr:rowOff>142875</xdr:rowOff>
    </xdr:from>
    <xdr:to>
      <xdr:col>5</xdr:col>
      <xdr:colOff>546600</xdr:colOff>
      <xdr:row>3</xdr:row>
      <xdr:rowOff>49875</xdr:rowOff>
    </xdr:to>
    <xdr:sp macro="" textlink="">
      <xdr:nvSpPr>
        <xdr:cNvPr id="8" name="Rectangle à coins arrondis 2">
          <a:hlinkClick xmlns:r="http://schemas.openxmlformats.org/officeDocument/2006/relationships" r:id="rId3" tooltip="Strategy A"/>
        </xdr:cNvPr>
        <xdr:cNvSpPr>
          <a:spLocks noChangeArrowheads="1"/>
        </xdr:cNvSpPr>
      </xdr:nvSpPr>
      <xdr:spPr bwMode="auto">
        <a:xfrm>
          <a:off x="5581650" y="438150"/>
          <a:ext cx="1080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704850</xdr:colOff>
      <xdr:row>1</xdr:row>
      <xdr:rowOff>142875</xdr:rowOff>
    </xdr:from>
    <xdr:to>
      <xdr:col>6</xdr:col>
      <xdr:colOff>1060950</xdr:colOff>
      <xdr:row>3</xdr:row>
      <xdr:rowOff>49875</xdr:rowOff>
    </xdr:to>
    <xdr:sp macro="" textlink="">
      <xdr:nvSpPr>
        <xdr:cNvPr id="9" name="Rectangle à coins arrondis 2">
          <a:hlinkClick xmlns:r="http://schemas.openxmlformats.org/officeDocument/2006/relationships" r:id="rId4" tooltip="Strategy B"/>
        </xdr:cNvPr>
        <xdr:cNvSpPr>
          <a:spLocks noChangeArrowheads="1"/>
        </xdr:cNvSpPr>
      </xdr:nvSpPr>
      <xdr:spPr bwMode="auto">
        <a:xfrm>
          <a:off x="6819900" y="438150"/>
          <a:ext cx="1080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81</xdr:row>
      <xdr:rowOff>104775</xdr:rowOff>
    </xdr:from>
    <xdr:to>
      <xdr:col>1</xdr:col>
      <xdr:colOff>396000</xdr:colOff>
      <xdr:row>83</xdr:row>
      <xdr:rowOff>119775</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 y="13820775"/>
          <a:ext cx="396000" cy="396000"/>
        </a:xfrm>
        <a:prstGeom prst="rect">
          <a:avLst/>
        </a:prstGeom>
      </xdr:spPr>
    </xdr:pic>
    <xdr:clientData/>
  </xdr:twoCellAnchor>
  <xdr:twoCellAnchor editAs="oneCell">
    <xdr:from>
      <xdr:col>1</xdr:col>
      <xdr:colOff>28575</xdr:colOff>
      <xdr:row>26</xdr:row>
      <xdr:rowOff>38101</xdr:rowOff>
    </xdr:from>
    <xdr:to>
      <xdr:col>1</xdr:col>
      <xdr:colOff>532575</xdr:colOff>
      <xdr:row>28</xdr:row>
      <xdr:rowOff>144012</xdr:rowOff>
    </xdr:to>
    <xdr:pic>
      <xdr:nvPicPr>
        <xdr:cNvPr id="11" name="Picture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5943601"/>
          <a:ext cx="504000" cy="505961"/>
        </a:xfrm>
        <a:prstGeom prst="rect">
          <a:avLst/>
        </a:prstGeom>
      </xdr:spPr>
    </xdr:pic>
    <xdr:clientData/>
  </xdr:twoCellAnchor>
  <xdr:oneCellAnchor>
    <xdr:from>
      <xdr:col>1</xdr:col>
      <xdr:colOff>19050</xdr:colOff>
      <xdr:row>18</xdr:row>
      <xdr:rowOff>104775</xdr:rowOff>
    </xdr:from>
    <xdr:ext cx="396000" cy="396000"/>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4867275"/>
          <a:ext cx="396000" cy="396000"/>
        </a:xfrm>
        <a:prstGeom prst="rect">
          <a:avLst/>
        </a:prstGeom>
      </xdr:spPr>
    </xdr:pic>
    <xdr:clientData/>
  </xdr:oneCellAnchor>
  <xdr:twoCellAnchor editAs="oneCell">
    <xdr:from>
      <xdr:col>1</xdr:col>
      <xdr:colOff>47625</xdr:colOff>
      <xdr:row>21</xdr:row>
      <xdr:rowOff>142875</xdr:rowOff>
    </xdr:from>
    <xdr:to>
      <xdr:col>1</xdr:col>
      <xdr:colOff>551625</xdr:colOff>
      <xdr:row>24</xdr:row>
      <xdr:rowOff>75375</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5476875"/>
          <a:ext cx="504000" cy="504000"/>
        </a:xfrm>
        <a:prstGeom prst="rect">
          <a:avLst/>
        </a:prstGeom>
      </xdr:spPr>
    </xdr:pic>
    <xdr:clientData/>
  </xdr:twoCellAnchor>
  <xdr:oneCellAnchor>
    <xdr:from>
      <xdr:col>1</xdr:col>
      <xdr:colOff>28575</xdr:colOff>
      <xdr:row>35</xdr:row>
      <xdr:rowOff>123825</xdr:rowOff>
    </xdr:from>
    <xdr:ext cx="360000" cy="360000"/>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7172325"/>
          <a:ext cx="360000" cy="360000"/>
        </a:xfrm>
        <a:prstGeom prst="rect">
          <a:avLst/>
        </a:prstGeom>
      </xdr:spPr>
    </xdr:pic>
    <xdr:clientData/>
  </xdr:oneCellAnchor>
  <xdr:oneCellAnchor>
    <xdr:from>
      <xdr:col>1</xdr:col>
      <xdr:colOff>28575</xdr:colOff>
      <xdr:row>91</xdr:row>
      <xdr:rowOff>123825</xdr:rowOff>
    </xdr:from>
    <xdr:ext cx="360000" cy="360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7391400"/>
          <a:ext cx="360000" cy="360000"/>
        </a:xfrm>
        <a:prstGeom prst="rect">
          <a:avLst/>
        </a:prstGeom>
      </xdr:spPr>
    </xdr:pic>
    <xdr:clientData/>
  </xdr:oneCellAnchor>
  <xdr:twoCellAnchor>
    <xdr:from>
      <xdr:col>7</xdr:col>
      <xdr:colOff>104775</xdr:colOff>
      <xdr:row>1</xdr:row>
      <xdr:rowOff>104775</xdr:rowOff>
    </xdr:from>
    <xdr:to>
      <xdr:col>7</xdr:col>
      <xdr:colOff>552450</xdr:colOff>
      <xdr:row>3</xdr:row>
      <xdr:rowOff>76200</xdr:rowOff>
    </xdr:to>
    <xdr:sp macro="" textlink="">
      <xdr:nvSpPr>
        <xdr:cNvPr id="14" name="Up Arrow 13">
          <a:hlinkClick xmlns:r="http://schemas.openxmlformats.org/officeDocument/2006/relationships" r:id="rId9" tooltip="Back to top"/>
        </xdr:cNvPr>
        <xdr:cNvSpPr/>
      </xdr:nvSpPr>
      <xdr:spPr>
        <a:xfrm>
          <a:off x="80676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47625</xdr:colOff>
      <xdr:row>85</xdr:row>
      <xdr:rowOff>66675</xdr:rowOff>
    </xdr:from>
    <xdr:to>
      <xdr:col>1</xdr:col>
      <xdr:colOff>551625</xdr:colOff>
      <xdr:row>87</xdr:row>
      <xdr:rowOff>189675</xdr:rowOff>
    </xdr:to>
    <xdr:pic>
      <xdr:nvPicPr>
        <xdr:cNvPr id="17"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625" y="17402175"/>
          <a:ext cx="504000" cy="504000"/>
        </a:xfrm>
        <a:prstGeom prst="rect">
          <a:avLst/>
        </a:prstGeom>
      </xdr:spPr>
    </xdr:pic>
    <xdr:clientData/>
  </xdr:twoCellAnchor>
  <xdr:twoCellAnchor editAs="oneCell">
    <xdr:from>
      <xdr:col>1</xdr:col>
      <xdr:colOff>28575</xdr:colOff>
      <xdr:row>94</xdr:row>
      <xdr:rowOff>85725</xdr:rowOff>
    </xdr:from>
    <xdr:to>
      <xdr:col>1</xdr:col>
      <xdr:colOff>388575</xdr:colOff>
      <xdr:row>95</xdr:row>
      <xdr:rowOff>179025</xdr:rowOff>
    </xdr:to>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20345400"/>
          <a:ext cx="360000" cy="360000"/>
        </a:xfrm>
        <a:prstGeom prst="rect">
          <a:avLst/>
        </a:prstGeom>
      </xdr:spPr>
    </xdr:pic>
    <xdr:clientData/>
  </xdr:twoCellAnchor>
  <xdr:oneCellAnchor>
    <xdr:from>
      <xdr:col>1</xdr:col>
      <xdr:colOff>66675</xdr:colOff>
      <xdr:row>30</xdr:row>
      <xdr:rowOff>104775</xdr:rowOff>
    </xdr:from>
    <xdr:ext cx="468000" cy="468000"/>
    <xdr:pic>
      <xdr:nvPicPr>
        <xdr:cNvPr id="20" name="Picture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 y="7038975"/>
          <a:ext cx="468000" cy="468000"/>
        </a:xfrm>
        <a:prstGeom prst="rect">
          <a:avLst/>
        </a:prstGeom>
      </xdr:spPr>
    </xdr:pic>
    <xdr:clientData/>
  </xdr:oneCellAnchor>
  <xdr:twoCellAnchor editAs="oneCell">
    <xdr:from>
      <xdr:col>1</xdr:col>
      <xdr:colOff>19050</xdr:colOff>
      <xdr:row>37</xdr:row>
      <xdr:rowOff>161925</xdr:rowOff>
    </xdr:from>
    <xdr:to>
      <xdr:col>1</xdr:col>
      <xdr:colOff>379050</xdr:colOff>
      <xdr:row>39</xdr:row>
      <xdr:rowOff>93300</xdr:rowOff>
    </xdr:to>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0050" y="8534400"/>
          <a:ext cx="360000" cy="360000"/>
        </a:xfrm>
        <a:prstGeom prst="rect">
          <a:avLst/>
        </a:prstGeom>
      </xdr:spPr>
    </xdr:pic>
    <xdr:clientData/>
  </xdr:twoCellAnchor>
  <xdr:oneCellAnchor>
    <xdr:from>
      <xdr:col>1</xdr:col>
      <xdr:colOff>28575</xdr:colOff>
      <xdr:row>96</xdr:row>
      <xdr:rowOff>66675</xdr:rowOff>
    </xdr:from>
    <xdr:ext cx="360000" cy="360000"/>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20821650"/>
          <a:ext cx="360000" cy="36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11</xdr:col>
      <xdr:colOff>19050</xdr:colOff>
      <xdr:row>12</xdr:row>
      <xdr:rowOff>23812</xdr:rowOff>
    </xdr:from>
    <xdr:ext cx="65" cy="172227"/>
    <xdr:sp macro="" textlink="">
      <xdr:nvSpPr>
        <xdr:cNvPr id="5" name="TextBox 4"/>
        <xdr:cNvSpPr txBox="1"/>
      </xdr:nvSpPr>
      <xdr:spPr>
        <a:xfrm>
          <a:off x="7058025" y="264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xdr:col>
      <xdr:colOff>9522</xdr:colOff>
      <xdr:row>28</xdr:row>
      <xdr:rowOff>110685</xdr:rowOff>
    </xdr:from>
    <xdr:to>
      <xdr:col>13</xdr:col>
      <xdr:colOff>504825</xdr:colOff>
      <xdr:row>67</xdr:row>
      <xdr:rowOff>66676</xdr:rowOff>
    </xdr:to>
    <xdr:grpSp>
      <xdr:nvGrpSpPr>
        <xdr:cNvPr id="2" name="Group 1"/>
        <xdr:cNvGrpSpPr/>
      </xdr:nvGrpSpPr>
      <xdr:grpSpPr>
        <a:xfrm>
          <a:off x="314322" y="5854260"/>
          <a:ext cx="10153653" cy="7414066"/>
          <a:chOff x="314322" y="5711385"/>
          <a:chExt cx="10058403" cy="7249592"/>
        </a:xfrm>
      </xdr:grpSpPr>
      <xdr:sp macro="" textlink="">
        <xdr:nvSpPr>
          <xdr:cNvPr id="6" name="Freeform 5"/>
          <xdr:cNvSpPr/>
        </xdr:nvSpPr>
        <xdr:spPr>
          <a:xfrm>
            <a:off x="314322" y="5831506"/>
            <a:ext cx="10058403" cy="583537"/>
          </a:xfrm>
          <a:custGeom>
            <a:avLst/>
            <a:gdLst>
              <a:gd name="connsiteX0" fmla="*/ 0 w 10058403"/>
              <a:gd name="connsiteY0" fmla="*/ 97258 h 583537"/>
              <a:gd name="connsiteX1" fmla="*/ 97258 w 10058403"/>
              <a:gd name="connsiteY1" fmla="*/ 0 h 583537"/>
              <a:gd name="connsiteX2" fmla="*/ 9961145 w 10058403"/>
              <a:gd name="connsiteY2" fmla="*/ 0 h 583537"/>
              <a:gd name="connsiteX3" fmla="*/ 10058403 w 10058403"/>
              <a:gd name="connsiteY3" fmla="*/ 97258 h 583537"/>
              <a:gd name="connsiteX4" fmla="*/ 10058403 w 10058403"/>
              <a:gd name="connsiteY4" fmla="*/ 486279 h 583537"/>
              <a:gd name="connsiteX5" fmla="*/ 9961145 w 10058403"/>
              <a:gd name="connsiteY5" fmla="*/ 583537 h 583537"/>
              <a:gd name="connsiteX6" fmla="*/ 97258 w 10058403"/>
              <a:gd name="connsiteY6" fmla="*/ 583537 h 583537"/>
              <a:gd name="connsiteX7" fmla="*/ 0 w 10058403"/>
              <a:gd name="connsiteY7" fmla="*/ 486279 h 583537"/>
              <a:gd name="connsiteX8" fmla="*/ 0 w 10058403"/>
              <a:gd name="connsiteY8" fmla="*/ 97258 h 5835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583537">
                <a:moveTo>
                  <a:pt x="0" y="97258"/>
                </a:moveTo>
                <a:cubicBezTo>
                  <a:pt x="0" y="43544"/>
                  <a:pt x="43544" y="0"/>
                  <a:pt x="97258" y="0"/>
                </a:cubicBezTo>
                <a:lnTo>
                  <a:pt x="9961145" y="0"/>
                </a:lnTo>
                <a:cubicBezTo>
                  <a:pt x="10014859" y="0"/>
                  <a:pt x="10058403" y="43544"/>
                  <a:pt x="10058403" y="97258"/>
                </a:cubicBezTo>
                <a:lnTo>
                  <a:pt x="10058403" y="486279"/>
                </a:lnTo>
                <a:cubicBezTo>
                  <a:pt x="10058403" y="539993"/>
                  <a:pt x="10014859" y="583537"/>
                  <a:pt x="9961145" y="583537"/>
                </a:cubicBezTo>
                <a:lnTo>
                  <a:pt x="97258" y="583537"/>
                </a:lnTo>
                <a:cubicBezTo>
                  <a:pt x="43544" y="583537"/>
                  <a:pt x="0" y="539993"/>
                  <a:pt x="0" y="486279"/>
                </a:cubicBezTo>
                <a:lnTo>
                  <a:pt x="0" y="97258"/>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09130" tIns="236766" rIns="809130" bIns="113830" numCol="1" spcCol="1270" anchor="b" anchorCtr="0">
            <a:noAutofit/>
          </a:bodyPr>
          <a:lstStyle/>
          <a:p>
            <a:pPr marL="114300" lvl="1" indent="-114300" algn="l" defTabSz="533400">
              <a:lnSpc>
                <a:spcPct val="90000"/>
              </a:lnSpc>
              <a:spcBef>
                <a:spcPct val="0"/>
              </a:spcBef>
              <a:spcAft>
                <a:spcPct val="15000"/>
              </a:spcAft>
              <a:buChar char="••"/>
            </a:pPr>
            <a:r>
              <a:rPr lang="en-US" sz="1200" kern="1200"/>
              <a:t>Make sure the project is eligible for LOTUS Interiors by reading and completing th 'LOTUS Interiors Eligibility' sheet.</a:t>
            </a:r>
          </a:p>
        </xdr:txBody>
      </xdr:sp>
      <xdr:sp macro="" textlink="">
        <xdr:nvSpPr>
          <xdr:cNvPr id="8" name="Freeform 7">
            <a:hlinkClick xmlns:r="http://schemas.openxmlformats.org/officeDocument/2006/relationships" r:id="rId1" tooltip="LOTUS Interiors Eligibility"/>
          </xdr:cNvPr>
          <xdr:cNvSpPr/>
        </xdr:nvSpPr>
        <xdr:spPr>
          <a:xfrm>
            <a:off x="817242" y="5711385"/>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1: LOTUS Interiors Eligibility</a:t>
            </a:r>
          </a:p>
        </xdr:txBody>
      </xdr:sp>
      <xdr:sp macro="" textlink="">
        <xdr:nvSpPr>
          <xdr:cNvPr id="10" name="Freeform 9"/>
          <xdr:cNvSpPr/>
        </xdr:nvSpPr>
        <xdr:spPr>
          <a:xfrm>
            <a:off x="314322" y="6605364"/>
            <a:ext cx="10058403" cy="532350"/>
          </a:xfrm>
          <a:custGeom>
            <a:avLst/>
            <a:gdLst>
              <a:gd name="connsiteX0" fmla="*/ 0 w 10058403"/>
              <a:gd name="connsiteY0" fmla="*/ 0 h 532350"/>
              <a:gd name="connsiteX1" fmla="*/ 10058403 w 10058403"/>
              <a:gd name="connsiteY1" fmla="*/ 0 h 532350"/>
              <a:gd name="connsiteX2" fmla="*/ 10058403 w 10058403"/>
              <a:gd name="connsiteY2" fmla="*/ 532350 h 532350"/>
              <a:gd name="connsiteX3" fmla="*/ 0 w 10058403"/>
              <a:gd name="connsiteY3" fmla="*/ 532350 h 532350"/>
              <a:gd name="connsiteX4" fmla="*/ 0 w 10058403"/>
              <a:gd name="connsiteY4" fmla="*/ 0 h 532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58403" h="532350">
                <a:moveTo>
                  <a:pt x="0" y="0"/>
                </a:moveTo>
                <a:lnTo>
                  <a:pt x="10058403" y="0"/>
                </a:lnTo>
                <a:lnTo>
                  <a:pt x="10058403" y="532350"/>
                </a:lnTo>
                <a:lnTo>
                  <a:pt x="0" y="532350"/>
                </a:lnTo>
                <a:lnTo>
                  <a:pt x="0" y="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80644" tIns="208280" rIns="780644" bIns="85344" numCol="1" spcCol="1270" anchor="b" anchorCtr="0">
            <a:noAutofit/>
          </a:bodyPr>
          <a:lstStyle/>
          <a:p>
            <a:pPr marL="114300" lvl="1" indent="-114300" algn="l" defTabSz="533400">
              <a:lnSpc>
                <a:spcPct val="90000"/>
              </a:lnSpc>
              <a:spcBef>
                <a:spcPct val="0"/>
              </a:spcBef>
              <a:spcAft>
                <a:spcPct val="15000"/>
              </a:spcAft>
              <a:buChar char="••"/>
            </a:pPr>
            <a:r>
              <a:rPr lang="en-US" sz="1200" kern="1200"/>
              <a:t>Complete, print, sign and submit the Application Form to VGBC for registering your project</a:t>
            </a:r>
          </a:p>
        </xdr:txBody>
      </xdr:sp>
      <xdr:sp macro="" textlink="">
        <xdr:nvSpPr>
          <xdr:cNvPr id="11" name="Freeform 10">
            <a:hlinkClick xmlns:r="http://schemas.openxmlformats.org/officeDocument/2006/relationships" r:id="rId2" tooltip="Application Form"/>
          </xdr:cNvPr>
          <xdr:cNvSpPr/>
        </xdr:nvSpPr>
        <xdr:spPr>
          <a:xfrm>
            <a:off x="817242" y="6485243"/>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2: Application Form</a:t>
            </a:r>
          </a:p>
        </xdr:txBody>
      </xdr:sp>
      <xdr:sp macro="" textlink="">
        <xdr:nvSpPr>
          <xdr:cNvPr id="12" name="Freeform 11"/>
          <xdr:cNvSpPr/>
        </xdr:nvSpPr>
        <xdr:spPr>
          <a:xfrm>
            <a:off x="314322" y="7328035"/>
            <a:ext cx="10058403" cy="798525"/>
          </a:xfrm>
          <a:custGeom>
            <a:avLst/>
            <a:gdLst>
              <a:gd name="connsiteX0" fmla="*/ 0 w 10058403"/>
              <a:gd name="connsiteY0" fmla="*/ 133090 h 798525"/>
              <a:gd name="connsiteX1" fmla="*/ 133090 w 10058403"/>
              <a:gd name="connsiteY1" fmla="*/ 0 h 798525"/>
              <a:gd name="connsiteX2" fmla="*/ 9925313 w 10058403"/>
              <a:gd name="connsiteY2" fmla="*/ 0 h 798525"/>
              <a:gd name="connsiteX3" fmla="*/ 10058403 w 10058403"/>
              <a:gd name="connsiteY3" fmla="*/ 133090 h 798525"/>
              <a:gd name="connsiteX4" fmla="*/ 10058403 w 10058403"/>
              <a:gd name="connsiteY4" fmla="*/ 665435 h 798525"/>
              <a:gd name="connsiteX5" fmla="*/ 9925313 w 10058403"/>
              <a:gd name="connsiteY5" fmla="*/ 798525 h 798525"/>
              <a:gd name="connsiteX6" fmla="*/ 133090 w 10058403"/>
              <a:gd name="connsiteY6" fmla="*/ 798525 h 798525"/>
              <a:gd name="connsiteX7" fmla="*/ 0 w 10058403"/>
              <a:gd name="connsiteY7" fmla="*/ 665435 h 798525"/>
              <a:gd name="connsiteX8" fmla="*/ 0 w 10058403"/>
              <a:gd name="connsiteY8" fmla="*/ 133090 h 798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798525">
                <a:moveTo>
                  <a:pt x="0" y="133090"/>
                </a:moveTo>
                <a:cubicBezTo>
                  <a:pt x="0" y="59586"/>
                  <a:pt x="59586" y="0"/>
                  <a:pt x="133090" y="0"/>
                </a:cubicBezTo>
                <a:lnTo>
                  <a:pt x="9925313" y="0"/>
                </a:lnTo>
                <a:cubicBezTo>
                  <a:pt x="9998817" y="0"/>
                  <a:pt x="10058403" y="59586"/>
                  <a:pt x="10058403" y="133090"/>
                </a:cubicBezTo>
                <a:lnTo>
                  <a:pt x="10058403" y="665435"/>
                </a:lnTo>
                <a:cubicBezTo>
                  <a:pt x="10058403" y="738939"/>
                  <a:pt x="9998817" y="798525"/>
                  <a:pt x="9925313" y="798525"/>
                </a:cubicBezTo>
                <a:lnTo>
                  <a:pt x="133090" y="798525"/>
                </a:lnTo>
                <a:cubicBezTo>
                  <a:pt x="59586" y="798525"/>
                  <a:pt x="0" y="738939"/>
                  <a:pt x="0" y="665435"/>
                </a:cubicBezTo>
                <a:lnTo>
                  <a:pt x="0" y="13309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19625" tIns="247261" rIns="819625" bIns="124325" numCol="1" spcCol="1270" anchor="b" anchorCtr="0">
            <a:noAutofit/>
          </a:bodyPr>
          <a:lstStyle/>
          <a:p>
            <a:pPr marL="114300" lvl="1" indent="-114300" algn="l" defTabSz="533400">
              <a:lnSpc>
                <a:spcPct val="90000"/>
              </a:lnSpc>
              <a:spcBef>
                <a:spcPct val="0"/>
              </a:spcBef>
              <a:spcAft>
                <a:spcPct val="15000"/>
              </a:spcAft>
              <a:buChar char="••"/>
            </a:pPr>
            <a:r>
              <a:rPr lang="en-US" sz="1200" kern="1200"/>
              <a:t>Complete the sheet with general information on the project</a:t>
            </a:r>
          </a:p>
          <a:p>
            <a:pPr marL="114300" lvl="1" indent="-114300" algn="l" defTabSz="533400">
              <a:lnSpc>
                <a:spcPct val="90000"/>
              </a:lnSpc>
              <a:spcBef>
                <a:spcPct val="0"/>
              </a:spcBef>
              <a:spcAft>
                <a:spcPct val="15000"/>
              </a:spcAft>
              <a:buChar char="••"/>
            </a:pPr>
            <a:r>
              <a:rPr lang="en-US" sz="1200" kern="1200"/>
              <a:t>Select the current submission stage of the project between Provisional Certification and Final Certification</a:t>
            </a:r>
          </a:p>
        </xdr:txBody>
      </xdr:sp>
      <xdr:sp macro="" textlink="">
        <xdr:nvSpPr>
          <xdr:cNvPr id="13" name="Freeform 12">
            <a:hlinkClick xmlns:r="http://schemas.openxmlformats.org/officeDocument/2006/relationships" r:id="rId3" tooltip="Project information"/>
          </xdr:cNvPr>
          <xdr:cNvSpPr/>
        </xdr:nvSpPr>
        <xdr:spPr>
          <a:xfrm>
            <a:off x="817242" y="7207914"/>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3: Project information</a:t>
            </a:r>
          </a:p>
        </xdr:txBody>
      </xdr:sp>
      <xdr:sp macro="" textlink="">
        <xdr:nvSpPr>
          <xdr:cNvPr id="14" name="Freeform 13"/>
          <xdr:cNvSpPr/>
        </xdr:nvSpPr>
        <xdr:spPr>
          <a:xfrm>
            <a:off x="314322" y="8294595"/>
            <a:ext cx="10058403" cy="1023750"/>
          </a:xfrm>
          <a:custGeom>
            <a:avLst/>
            <a:gdLst>
              <a:gd name="connsiteX0" fmla="*/ 0 w 10058403"/>
              <a:gd name="connsiteY0" fmla="*/ 170628 h 1023750"/>
              <a:gd name="connsiteX1" fmla="*/ 170628 w 10058403"/>
              <a:gd name="connsiteY1" fmla="*/ 0 h 1023750"/>
              <a:gd name="connsiteX2" fmla="*/ 9887775 w 10058403"/>
              <a:gd name="connsiteY2" fmla="*/ 0 h 1023750"/>
              <a:gd name="connsiteX3" fmla="*/ 10058403 w 10058403"/>
              <a:gd name="connsiteY3" fmla="*/ 170628 h 1023750"/>
              <a:gd name="connsiteX4" fmla="*/ 10058403 w 10058403"/>
              <a:gd name="connsiteY4" fmla="*/ 853122 h 1023750"/>
              <a:gd name="connsiteX5" fmla="*/ 9887775 w 10058403"/>
              <a:gd name="connsiteY5" fmla="*/ 1023750 h 1023750"/>
              <a:gd name="connsiteX6" fmla="*/ 170628 w 10058403"/>
              <a:gd name="connsiteY6" fmla="*/ 1023750 h 1023750"/>
              <a:gd name="connsiteX7" fmla="*/ 0 w 10058403"/>
              <a:gd name="connsiteY7" fmla="*/ 853122 h 1023750"/>
              <a:gd name="connsiteX8" fmla="*/ 0 w 10058403"/>
              <a:gd name="connsiteY8" fmla="*/ 170628 h 1023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023750">
                <a:moveTo>
                  <a:pt x="0" y="170628"/>
                </a:moveTo>
                <a:cubicBezTo>
                  <a:pt x="0" y="76393"/>
                  <a:pt x="76393" y="0"/>
                  <a:pt x="170628" y="0"/>
                </a:cubicBezTo>
                <a:lnTo>
                  <a:pt x="9887775" y="0"/>
                </a:lnTo>
                <a:cubicBezTo>
                  <a:pt x="9982010" y="0"/>
                  <a:pt x="10058403" y="76393"/>
                  <a:pt x="10058403" y="170628"/>
                </a:cubicBezTo>
                <a:lnTo>
                  <a:pt x="10058403" y="853122"/>
                </a:lnTo>
                <a:cubicBezTo>
                  <a:pt x="10058403" y="947357"/>
                  <a:pt x="9982010" y="1023750"/>
                  <a:pt x="9887775" y="1023750"/>
                </a:cubicBezTo>
                <a:lnTo>
                  <a:pt x="170628" y="1023750"/>
                </a:lnTo>
                <a:cubicBezTo>
                  <a:pt x="76393" y="1023750"/>
                  <a:pt x="0" y="947357"/>
                  <a:pt x="0" y="853122"/>
                </a:cubicBezTo>
                <a:lnTo>
                  <a:pt x="0" y="170628"/>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0619" tIns="258255" rIns="830619" bIns="135319" numCol="1" spcCol="1270" anchor="b" anchorCtr="0">
            <a:noAutofit/>
          </a:bodyPr>
          <a:lstStyle/>
          <a:p>
            <a:pPr marL="114300" lvl="1" indent="-114300" algn="l" defTabSz="533400">
              <a:lnSpc>
                <a:spcPct val="90000"/>
              </a:lnSpc>
              <a:spcBef>
                <a:spcPct val="0"/>
              </a:spcBef>
              <a:spcAft>
                <a:spcPct val="15000"/>
              </a:spcAft>
              <a:buChar char="••"/>
            </a:pPr>
            <a:r>
              <a:rPr lang="en-US" sz="1200" kern="1200"/>
              <a:t>The LOTUS Interiors Scorecard is the main sheet of the tool where results are gathered.</a:t>
            </a:r>
          </a:p>
          <a:p>
            <a:pPr marL="114300" lvl="1" indent="-114300" algn="l" defTabSz="533400">
              <a:lnSpc>
                <a:spcPct val="90000"/>
              </a:lnSpc>
              <a:spcBef>
                <a:spcPct val="0"/>
              </a:spcBef>
              <a:spcAft>
                <a:spcPct val="15000"/>
              </a:spcAft>
              <a:buChar char="••"/>
            </a:pPr>
            <a:r>
              <a:rPr lang="en-US" sz="1200" kern="1200"/>
              <a:t>Navigate to the different categories by clicking on the appropriate images. </a:t>
            </a:r>
          </a:p>
          <a:p>
            <a:pPr marL="114300" lvl="1" indent="-114300" algn="l" defTabSz="533400">
              <a:lnSpc>
                <a:spcPct val="90000"/>
              </a:lnSpc>
              <a:spcBef>
                <a:spcPct val="0"/>
              </a:spcBef>
              <a:spcAft>
                <a:spcPct val="15000"/>
              </a:spcAft>
              <a:buChar char="••"/>
            </a:pPr>
            <a:r>
              <a:rPr lang="en-US" sz="1200" kern="1200"/>
              <a:t>The Scorecard is filled automatically as the User provides information in the light red cells of the credit sheets.</a:t>
            </a:r>
          </a:p>
        </xdr:txBody>
      </xdr:sp>
      <xdr:sp macro="" textlink="">
        <xdr:nvSpPr>
          <xdr:cNvPr id="18" name="Freeform 17">
            <a:hlinkClick xmlns:r="http://schemas.openxmlformats.org/officeDocument/2006/relationships" r:id="rId4" tooltip="LOTUS Interiors Scorecard"/>
          </xdr:cNvPr>
          <xdr:cNvSpPr/>
        </xdr:nvSpPr>
        <xdr:spPr>
          <a:xfrm>
            <a:off x="817242" y="8196760"/>
            <a:ext cx="7040882" cy="289715"/>
          </a:xfrm>
          <a:custGeom>
            <a:avLst/>
            <a:gdLst>
              <a:gd name="connsiteX0" fmla="*/ 0 w 7040882"/>
              <a:gd name="connsiteY0" fmla="*/ 48287 h 289715"/>
              <a:gd name="connsiteX1" fmla="*/ 48287 w 7040882"/>
              <a:gd name="connsiteY1" fmla="*/ 0 h 289715"/>
              <a:gd name="connsiteX2" fmla="*/ 6992595 w 7040882"/>
              <a:gd name="connsiteY2" fmla="*/ 0 h 289715"/>
              <a:gd name="connsiteX3" fmla="*/ 7040882 w 7040882"/>
              <a:gd name="connsiteY3" fmla="*/ 48287 h 289715"/>
              <a:gd name="connsiteX4" fmla="*/ 7040882 w 7040882"/>
              <a:gd name="connsiteY4" fmla="*/ 241428 h 289715"/>
              <a:gd name="connsiteX5" fmla="*/ 6992595 w 7040882"/>
              <a:gd name="connsiteY5" fmla="*/ 289715 h 289715"/>
              <a:gd name="connsiteX6" fmla="*/ 48287 w 7040882"/>
              <a:gd name="connsiteY6" fmla="*/ 289715 h 289715"/>
              <a:gd name="connsiteX7" fmla="*/ 0 w 7040882"/>
              <a:gd name="connsiteY7" fmla="*/ 241428 h 289715"/>
              <a:gd name="connsiteX8" fmla="*/ 0 w 7040882"/>
              <a:gd name="connsiteY8" fmla="*/ 48287 h 2897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289715">
                <a:moveTo>
                  <a:pt x="0" y="48287"/>
                </a:moveTo>
                <a:cubicBezTo>
                  <a:pt x="0" y="21619"/>
                  <a:pt x="21619" y="0"/>
                  <a:pt x="48287" y="0"/>
                </a:cubicBezTo>
                <a:lnTo>
                  <a:pt x="6992595" y="0"/>
                </a:lnTo>
                <a:cubicBezTo>
                  <a:pt x="7019263" y="0"/>
                  <a:pt x="7040882" y="21619"/>
                  <a:pt x="7040882" y="48287"/>
                </a:cubicBezTo>
                <a:lnTo>
                  <a:pt x="7040882" y="241428"/>
                </a:lnTo>
                <a:cubicBezTo>
                  <a:pt x="7040882" y="268096"/>
                  <a:pt x="7019263" y="289715"/>
                  <a:pt x="6992595" y="289715"/>
                </a:cubicBezTo>
                <a:lnTo>
                  <a:pt x="48287" y="289715"/>
                </a:lnTo>
                <a:cubicBezTo>
                  <a:pt x="21619" y="289715"/>
                  <a:pt x="0" y="268096"/>
                  <a:pt x="0" y="241428"/>
                </a:cubicBezTo>
                <a:lnTo>
                  <a:pt x="0" y="48287"/>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0272" tIns="14143" rIns="280272" bIns="14143" numCol="1" spcCol="1270" anchor="ctr" anchorCtr="0">
            <a:noAutofit/>
          </a:bodyPr>
          <a:lstStyle/>
          <a:p>
            <a:pPr lvl="0" algn="l" defTabSz="800100">
              <a:lnSpc>
                <a:spcPct val="90000"/>
              </a:lnSpc>
              <a:spcBef>
                <a:spcPct val="0"/>
              </a:spcBef>
              <a:spcAft>
                <a:spcPct val="35000"/>
              </a:spcAft>
            </a:pPr>
            <a:r>
              <a:rPr lang="en-US" sz="1800" kern="1200"/>
              <a:t>Step 4: LOTUS Interiors Scorecard</a:t>
            </a:r>
          </a:p>
        </xdr:txBody>
      </xdr:sp>
      <xdr:sp macro="" textlink="">
        <xdr:nvSpPr>
          <xdr:cNvPr id="20" name="Freeform 19"/>
          <xdr:cNvSpPr/>
        </xdr:nvSpPr>
        <xdr:spPr>
          <a:xfrm>
            <a:off x="314322" y="9508666"/>
            <a:ext cx="10058403" cy="798525"/>
          </a:xfrm>
          <a:custGeom>
            <a:avLst/>
            <a:gdLst>
              <a:gd name="connsiteX0" fmla="*/ 0 w 10058403"/>
              <a:gd name="connsiteY0" fmla="*/ 133090 h 798525"/>
              <a:gd name="connsiteX1" fmla="*/ 133090 w 10058403"/>
              <a:gd name="connsiteY1" fmla="*/ 0 h 798525"/>
              <a:gd name="connsiteX2" fmla="*/ 9925313 w 10058403"/>
              <a:gd name="connsiteY2" fmla="*/ 0 h 798525"/>
              <a:gd name="connsiteX3" fmla="*/ 10058403 w 10058403"/>
              <a:gd name="connsiteY3" fmla="*/ 133090 h 798525"/>
              <a:gd name="connsiteX4" fmla="*/ 10058403 w 10058403"/>
              <a:gd name="connsiteY4" fmla="*/ 665435 h 798525"/>
              <a:gd name="connsiteX5" fmla="*/ 9925313 w 10058403"/>
              <a:gd name="connsiteY5" fmla="*/ 798525 h 798525"/>
              <a:gd name="connsiteX6" fmla="*/ 133090 w 10058403"/>
              <a:gd name="connsiteY6" fmla="*/ 798525 h 798525"/>
              <a:gd name="connsiteX7" fmla="*/ 0 w 10058403"/>
              <a:gd name="connsiteY7" fmla="*/ 665435 h 798525"/>
              <a:gd name="connsiteX8" fmla="*/ 0 w 10058403"/>
              <a:gd name="connsiteY8" fmla="*/ 133090 h 798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798525">
                <a:moveTo>
                  <a:pt x="0" y="133090"/>
                </a:moveTo>
                <a:cubicBezTo>
                  <a:pt x="0" y="59586"/>
                  <a:pt x="59586" y="0"/>
                  <a:pt x="133090" y="0"/>
                </a:cubicBezTo>
                <a:lnTo>
                  <a:pt x="9925313" y="0"/>
                </a:lnTo>
                <a:cubicBezTo>
                  <a:pt x="9998817" y="0"/>
                  <a:pt x="10058403" y="59586"/>
                  <a:pt x="10058403" y="133090"/>
                </a:cubicBezTo>
                <a:lnTo>
                  <a:pt x="10058403" y="665435"/>
                </a:lnTo>
                <a:cubicBezTo>
                  <a:pt x="10058403" y="738939"/>
                  <a:pt x="9998817" y="798525"/>
                  <a:pt x="9925313" y="798525"/>
                </a:cubicBezTo>
                <a:lnTo>
                  <a:pt x="133090" y="798525"/>
                </a:lnTo>
                <a:cubicBezTo>
                  <a:pt x="59586" y="798525"/>
                  <a:pt x="0" y="738939"/>
                  <a:pt x="0" y="665435"/>
                </a:cubicBezTo>
                <a:lnTo>
                  <a:pt x="0" y="13309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19625" tIns="247261" rIns="819625" bIns="124325" numCol="1" spcCol="1270" anchor="b" anchorCtr="0">
            <a:noAutofit/>
          </a:bodyPr>
          <a:lstStyle/>
          <a:p>
            <a:pPr marL="114300" lvl="1" indent="-114300" algn="l" defTabSz="533400">
              <a:lnSpc>
                <a:spcPct val="90000"/>
              </a:lnSpc>
              <a:spcBef>
                <a:spcPct val="0"/>
              </a:spcBef>
              <a:spcAft>
                <a:spcPct val="15000"/>
              </a:spcAft>
              <a:buChar char="••"/>
            </a:pPr>
            <a:r>
              <a:rPr lang="en-US" sz="1200" kern="1200"/>
              <a:t>There is a main spreadsheet for each category providing an overview of the category </a:t>
            </a:r>
          </a:p>
          <a:p>
            <a:pPr marL="114300" lvl="1" indent="-114300" algn="l" defTabSz="533400">
              <a:lnSpc>
                <a:spcPct val="90000"/>
              </a:lnSpc>
              <a:spcBef>
                <a:spcPct val="0"/>
              </a:spcBef>
              <a:spcAft>
                <a:spcPct val="15000"/>
              </a:spcAft>
              <a:buChar char="••"/>
            </a:pPr>
            <a:r>
              <a:rPr lang="en-US" sz="1200" kern="1200"/>
              <a:t>Navigate to the different credits of each category from these spreadsheets.</a:t>
            </a:r>
          </a:p>
        </xdr:txBody>
      </xdr:sp>
      <xdr:sp macro="" textlink="">
        <xdr:nvSpPr>
          <xdr:cNvPr id="24" name="Freeform 23"/>
          <xdr:cNvSpPr/>
        </xdr:nvSpPr>
        <xdr:spPr>
          <a:xfrm>
            <a:off x="817242" y="9388545"/>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5: Category sheets</a:t>
            </a:r>
          </a:p>
        </xdr:txBody>
      </xdr:sp>
      <xdr:sp macro="" textlink="">
        <xdr:nvSpPr>
          <xdr:cNvPr id="26" name="Freeform 25"/>
          <xdr:cNvSpPr/>
        </xdr:nvSpPr>
        <xdr:spPr>
          <a:xfrm>
            <a:off x="314322" y="10497512"/>
            <a:ext cx="10058403" cy="1233633"/>
          </a:xfrm>
          <a:custGeom>
            <a:avLst/>
            <a:gdLst>
              <a:gd name="connsiteX0" fmla="*/ 0 w 10058403"/>
              <a:gd name="connsiteY0" fmla="*/ 195570 h 1173399"/>
              <a:gd name="connsiteX1" fmla="*/ 195570 w 10058403"/>
              <a:gd name="connsiteY1" fmla="*/ 0 h 1173399"/>
              <a:gd name="connsiteX2" fmla="*/ 9862833 w 10058403"/>
              <a:gd name="connsiteY2" fmla="*/ 0 h 1173399"/>
              <a:gd name="connsiteX3" fmla="*/ 10058403 w 10058403"/>
              <a:gd name="connsiteY3" fmla="*/ 195570 h 1173399"/>
              <a:gd name="connsiteX4" fmla="*/ 10058403 w 10058403"/>
              <a:gd name="connsiteY4" fmla="*/ 977829 h 1173399"/>
              <a:gd name="connsiteX5" fmla="*/ 9862833 w 10058403"/>
              <a:gd name="connsiteY5" fmla="*/ 1173399 h 1173399"/>
              <a:gd name="connsiteX6" fmla="*/ 195570 w 10058403"/>
              <a:gd name="connsiteY6" fmla="*/ 1173399 h 1173399"/>
              <a:gd name="connsiteX7" fmla="*/ 0 w 10058403"/>
              <a:gd name="connsiteY7" fmla="*/ 977829 h 1173399"/>
              <a:gd name="connsiteX8" fmla="*/ 0 w 10058403"/>
              <a:gd name="connsiteY8" fmla="*/ 195570 h 1173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173399">
                <a:moveTo>
                  <a:pt x="0" y="195570"/>
                </a:moveTo>
                <a:cubicBezTo>
                  <a:pt x="0" y="87560"/>
                  <a:pt x="87560" y="0"/>
                  <a:pt x="195570" y="0"/>
                </a:cubicBezTo>
                <a:lnTo>
                  <a:pt x="9862833" y="0"/>
                </a:lnTo>
                <a:cubicBezTo>
                  <a:pt x="9970843" y="0"/>
                  <a:pt x="10058403" y="87560"/>
                  <a:pt x="10058403" y="195570"/>
                </a:cubicBezTo>
                <a:lnTo>
                  <a:pt x="10058403" y="977829"/>
                </a:lnTo>
                <a:cubicBezTo>
                  <a:pt x="10058403" y="1085839"/>
                  <a:pt x="9970843" y="1173399"/>
                  <a:pt x="9862833" y="1173399"/>
                </a:cubicBezTo>
                <a:lnTo>
                  <a:pt x="195570" y="1173399"/>
                </a:lnTo>
                <a:cubicBezTo>
                  <a:pt x="87560" y="1173399"/>
                  <a:pt x="0" y="1085839"/>
                  <a:pt x="0" y="977829"/>
                </a:cubicBezTo>
                <a:lnTo>
                  <a:pt x="0" y="19557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7925" tIns="265561" rIns="837925" bIns="142625"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separate spreadsheet for each LOTUS Interiors credit.</a:t>
            </a:r>
          </a:p>
          <a:p>
            <a:pPr marL="114300" lvl="1" indent="-114300" algn="l" defTabSz="533400">
              <a:lnSpc>
                <a:spcPct val="90000"/>
              </a:lnSpc>
              <a:spcBef>
                <a:spcPct val="0"/>
              </a:spcBef>
              <a:spcAft>
                <a:spcPct val="15000"/>
              </a:spcAft>
              <a:buChar char="••"/>
            </a:pPr>
            <a:r>
              <a:rPr lang="en-US" sz="1200" kern="1200"/>
              <a:t>This sheet provides the key information and instructions for the credit.</a:t>
            </a:r>
          </a:p>
          <a:p>
            <a:pPr marL="114300" lvl="1" indent="-114300" algn="l" defTabSz="533400">
              <a:lnSpc>
                <a:spcPct val="90000"/>
              </a:lnSpc>
              <a:spcBef>
                <a:spcPct val="0"/>
              </a:spcBef>
              <a:spcAft>
                <a:spcPct val="15000"/>
              </a:spcAft>
              <a:buChar char="••"/>
            </a:pPr>
            <a:r>
              <a:rPr lang="en-US" sz="1200" kern="1200"/>
              <a:t>Read the contents of the credit sheet carefully and fill in appropriate information in the light-red coloured cells.</a:t>
            </a:r>
          </a:p>
          <a:p>
            <a:pPr marL="114300" lvl="1" indent="-114300" algn="l" defTabSz="533400">
              <a:lnSpc>
                <a:spcPct val="90000"/>
              </a:lnSpc>
              <a:spcBef>
                <a:spcPct val="0"/>
              </a:spcBef>
              <a:spcAft>
                <a:spcPct val="15000"/>
              </a:spcAft>
              <a:buChar char="••"/>
            </a:pPr>
            <a:r>
              <a:rPr lang="en-US" sz="1200" kern="1200"/>
              <a:t>The User Tool will automatically perform all the calculations and provide the results.</a:t>
            </a:r>
          </a:p>
          <a:p>
            <a:pPr marL="114300" lvl="1" indent="-114300" algn="l" defTabSz="533400">
              <a:lnSpc>
                <a:spcPct val="90000"/>
              </a:lnSpc>
              <a:spcBef>
                <a:spcPct val="0"/>
              </a:spcBef>
              <a:spcAft>
                <a:spcPct val="15000"/>
              </a:spcAft>
              <a:buChar char="••"/>
            </a:pPr>
            <a:r>
              <a:rPr lang="en-US" sz="1200" kern="1200" baseline="0"/>
              <a:t>To provide more information or comments on a credit, the Applicant can complete the 'Additional Information' sheet</a:t>
            </a:r>
            <a:endParaRPr lang="en-US" sz="1200" kern="1200"/>
          </a:p>
        </xdr:txBody>
      </xdr:sp>
      <xdr:sp macro="" textlink="">
        <xdr:nvSpPr>
          <xdr:cNvPr id="30" name="Freeform 29"/>
          <xdr:cNvSpPr/>
        </xdr:nvSpPr>
        <xdr:spPr>
          <a:xfrm>
            <a:off x="817242" y="10377391"/>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6: Credit sheets</a:t>
            </a:r>
          </a:p>
        </xdr:txBody>
      </xdr:sp>
      <xdr:sp macro="" textlink="">
        <xdr:nvSpPr>
          <xdr:cNvPr id="31" name="Freeform 30"/>
          <xdr:cNvSpPr/>
        </xdr:nvSpPr>
        <xdr:spPr>
          <a:xfrm>
            <a:off x="314322" y="11926512"/>
            <a:ext cx="10058403" cy="1034465"/>
          </a:xfrm>
          <a:custGeom>
            <a:avLst/>
            <a:gdLst>
              <a:gd name="connsiteX0" fmla="*/ 0 w 10058403"/>
              <a:gd name="connsiteY0" fmla="*/ 172414 h 1034465"/>
              <a:gd name="connsiteX1" fmla="*/ 172414 w 10058403"/>
              <a:gd name="connsiteY1" fmla="*/ 0 h 1034465"/>
              <a:gd name="connsiteX2" fmla="*/ 9885989 w 10058403"/>
              <a:gd name="connsiteY2" fmla="*/ 0 h 1034465"/>
              <a:gd name="connsiteX3" fmla="*/ 10058403 w 10058403"/>
              <a:gd name="connsiteY3" fmla="*/ 172414 h 1034465"/>
              <a:gd name="connsiteX4" fmla="*/ 10058403 w 10058403"/>
              <a:gd name="connsiteY4" fmla="*/ 862051 h 1034465"/>
              <a:gd name="connsiteX5" fmla="*/ 9885989 w 10058403"/>
              <a:gd name="connsiteY5" fmla="*/ 1034465 h 1034465"/>
              <a:gd name="connsiteX6" fmla="*/ 172414 w 10058403"/>
              <a:gd name="connsiteY6" fmla="*/ 1034465 h 1034465"/>
              <a:gd name="connsiteX7" fmla="*/ 0 w 10058403"/>
              <a:gd name="connsiteY7" fmla="*/ 862051 h 1034465"/>
              <a:gd name="connsiteX8" fmla="*/ 0 w 10058403"/>
              <a:gd name="connsiteY8" fmla="*/ 172414 h 1034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034465">
                <a:moveTo>
                  <a:pt x="0" y="172414"/>
                </a:moveTo>
                <a:cubicBezTo>
                  <a:pt x="0" y="77192"/>
                  <a:pt x="77192" y="0"/>
                  <a:pt x="172414" y="0"/>
                </a:cubicBezTo>
                <a:lnTo>
                  <a:pt x="9885989" y="0"/>
                </a:lnTo>
                <a:cubicBezTo>
                  <a:pt x="9981211" y="0"/>
                  <a:pt x="10058403" y="77192"/>
                  <a:pt x="10058403" y="172414"/>
                </a:cubicBezTo>
                <a:lnTo>
                  <a:pt x="10058403" y="862051"/>
                </a:lnTo>
                <a:cubicBezTo>
                  <a:pt x="10058403" y="957273"/>
                  <a:pt x="9981211" y="1034465"/>
                  <a:pt x="9885989" y="1034465"/>
                </a:cubicBezTo>
                <a:lnTo>
                  <a:pt x="172414" y="1034465"/>
                </a:lnTo>
                <a:cubicBezTo>
                  <a:pt x="77192" y="1034465"/>
                  <a:pt x="0" y="957273"/>
                  <a:pt x="0" y="862051"/>
                </a:cubicBezTo>
                <a:lnTo>
                  <a:pt x="0" y="172414"/>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1142" tIns="258778" rIns="831142" bIns="135842" numCol="1" spcCol="1270" anchor="t" anchorCtr="0">
            <a:noAutofit/>
          </a:bodyPr>
          <a:lstStyle/>
          <a:p>
            <a:pPr marL="114300" lvl="1" indent="-114300" algn="l" defTabSz="533400">
              <a:lnSpc>
                <a:spcPct val="90000"/>
              </a:lnSpc>
              <a:spcBef>
                <a:spcPct val="0"/>
              </a:spcBef>
              <a:spcAft>
                <a:spcPct val="15000"/>
              </a:spcAft>
              <a:buChar char="••"/>
            </a:pPr>
            <a:r>
              <a:rPr lang="en-US" sz="1200" kern="1200"/>
              <a:t>Refer to the 2 sheets 'Prov. Certification checklist' and 'Final Certification checklist ' for a list of mandatory requirements before making submissions for pre-assessment, provisional certification and final certification stage.</a:t>
            </a:r>
          </a:p>
          <a:p>
            <a:pPr marL="114300" lvl="1" indent="-114300" algn="l" defTabSz="533400">
              <a:lnSpc>
                <a:spcPct val="90000"/>
              </a:lnSpc>
              <a:spcBef>
                <a:spcPct val="0"/>
              </a:spcBef>
              <a:spcAft>
                <a:spcPct val="15000"/>
              </a:spcAft>
              <a:buChar char="••"/>
            </a:pPr>
            <a:endParaRPr lang="en-US" sz="1200" kern="1200"/>
          </a:p>
        </xdr:txBody>
      </xdr:sp>
      <xdr:sp macro="" textlink="">
        <xdr:nvSpPr>
          <xdr:cNvPr id="32" name="Freeform 31"/>
          <xdr:cNvSpPr/>
        </xdr:nvSpPr>
        <xdr:spPr>
          <a:xfrm>
            <a:off x="817242" y="11787740"/>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FFAF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7: Submission Checklists</a:t>
            </a:r>
          </a:p>
        </xdr:txBody>
      </xdr:sp>
    </xdr:grpSp>
    <xdr:clientData/>
  </xdr:twoCellAnchor>
  <xdr:twoCellAnchor>
    <xdr:from>
      <xdr:col>2</xdr:col>
      <xdr:colOff>238125</xdr:colOff>
      <xdr:row>64</xdr:row>
      <xdr:rowOff>180975</xdr:rowOff>
    </xdr:from>
    <xdr:to>
      <xdr:col>5</xdr:col>
      <xdr:colOff>728325</xdr:colOff>
      <xdr:row>66</xdr:row>
      <xdr:rowOff>104925</xdr:rowOff>
    </xdr:to>
    <xdr:sp macro="" textlink="">
      <xdr:nvSpPr>
        <xdr:cNvPr id="16" name="Rectangle à coins arrondis 2">
          <a:hlinkClick xmlns:r="http://schemas.openxmlformats.org/officeDocument/2006/relationships" r:id="rId5" tooltip="Provisional Certification checklist"/>
        </xdr:cNvPr>
        <xdr:cNvSpPr>
          <a:spLocks noChangeArrowheads="1"/>
        </xdr:cNvSpPr>
      </xdr:nvSpPr>
      <xdr:spPr bwMode="auto">
        <a:xfrm>
          <a:off x="1257300" y="12830175"/>
          <a:ext cx="270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a:solidFill>
                <a:srgbClr val="FFA500"/>
              </a:solidFill>
              <a:effectLst/>
              <a:latin typeface="+mn-lt"/>
              <a:ea typeface="+mn-ea"/>
              <a:cs typeface="+mn-cs"/>
            </a:rPr>
            <a:t>Provisional Certification checklist</a:t>
          </a:r>
          <a:endParaRPr lang="en-US" sz="1400" b="1">
            <a:solidFill>
              <a:srgbClr val="FFA500"/>
            </a:solidFill>
            <a:effectLst/>
          </a:endParaRPr>
        </a:p>
      </xdr:txBody>
    </xdr:sp>
    <xdr:clientData/>
  </xdr:twoCellAnchor>
  <xdr:twoCellAnchor>
    <xdr:from>
      <xdr:col>7</xdr:col>
      <xdr:colOff>76200</xdr:colOff>
      <xdr:row>64</xdr:row>
      <xdr:rowOff>190500</xdr:rowOff>
    </xdr:from>
    <xdr:to>
      <xdr:col>10</xdr:col>
      <xdr:colOff>328275</xdr:colOff>
      <xdr:row>66</xdr:row>
      <xdr:rowOff>114450</xdr:rowOff>
    </xdr:to>
    <xdr:sp macro="" textlink="">
      <xdr:nvSpPr>
        <xdr:cNvPr id="17" name="Rectangle à coins arrondis 2">
          <a:hlinkClick xmlns:r="http://schemas.openxmlformats.org/officeDocument/2006/relationships" r:id="rId6" tooltip="Full Certification checklist"/>
        </xdr:cNvPr>
        <xdr:cNvSpPr>
          <a:spLocks noChangeArrowheads="1"/>
        </xdr:cNvSpPr>
      </xdr:nvSpPr>
      <xdr:spPr bwMode="auto">
        <a:xfrm>
          <a:off x="4943475" y="12839700"/>
          <a:ext cx="270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 typeface="Arial" panose="020B0604020202020204" pitchFamily="34" charset="0"/>
            <a:buNone/>
            <a:tabLst/>
            <a:defRPr sz="1000"/>
          </a:pPr>
          <a:r>
            <a:rPr lang="en-US" sz="1400" b="1">
              <a:solidFill>
                <a:srgbClr val="FFA500"/>
              </a:solidFill>
              <a:effectLst/>
              <a:latin typeface="+mn-lt"/>
              <a:ea typeface="+mn-ea"/>
              <a:cs typeface="+mn-cs"/>
            </a:rPr>
            <a:t>Full Certification checklist</a:t>
          </a:r>
          <a:endParaRPr lang="en-US" sz="1400" b="1">
            <a:solidFill>
              <a:srgbClr val="FFA500"/>
            </a:solidFill>
            <a:effectLst/>
          </a:endParaRPr>
        </a:p>
      </xdr:txBody>
    </xdr:sp>
    <xdr:clientData/>
  </xdr:twoCellAnchor>
  <xdr:twoCellAnchor editAs="oneCell">
    <xdr:from>
      <xdr:col>1</xdr:col>
      <xdr:colOff>447675</xdr:colOff>
      <xdr:row>24</xdr:row>
      <xdr:rowOff>38100</xdr:rowOff>
    </xdr:from>
    <xdr:to>
      <xdr:col>2</xdr:col>
      <xdr:colOff>201300</xdr:colOff>
      <xdr:row>24</xdr:row>
      <xdr:rowOff>506100</xdr:rowOff>
    </xdr:to>
    <xdr:pic>
      <xdr:nvPicPr>
        <xdr:cNvPr id="3" name="Picture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4905375"/>
          <a:ext cx="468000" cy="468000"/>
        </a:xfrm>
        <a:prstGeom prst="rect">
          <a:avLst/>
        </a:prstGeom>
      </xdr:spPr>
    </xdr:pic>
    <xdr:clientData/>
  </xdr:twoCellAnchor>
  <xdr:twoCellAnchor>
    <xdr:from>
      <xdr:col>11</xdr:col>
      <xdr:colOff>47625</xdr:colOff>
      <xdr:row>1</xdr:row>
      <xdr:rowOff>38100</xdr:rowOff>
    </xdr:from>
    <xdr:to>
      <xdr:col>12</xdr:col>
      <xdr:colOff>647325</xdr:colOff>
      <xdr:row>2</xdr:row>
      <xdr:rowOff>115500</xdr:rowOff>
    </xdr:to>
    <xdr:sp macro="" textlink="">
      <xdr:nvSpPr>
        <xdr:cNvPr id="19" name="Rectangle à coins arrondis 2">
          <a:hlinkClick xmlns:r="http://schemas.openxmlformats.org/officeDocument/2006/relationships" r:id="rId8" tooltip="Recommendations"/>
        </xdr:cNvPr>
        <xdr:cNvSpPr>
          <a:spLocks noChangeArrowheads="1"/>
        </xdr:cNvSpPr>
      </xdr:nvSpPr>
      <xdr:spPr bwMode="auto">
        <a:xfrm>
          <a:off x="8134350" y="419100"/>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FFA500"/>
            </a:solidFill>
            <a:latin typeface="Arial" pitchFamily="34" charset="0"/>
            <a:cs typeface="Arial" pitchFamily="34" charset="0"/>
          </a:endParaRPr>
        </a:p>
      </xdr:txBody>
    </xdr:sp>
    <xdr:clientData/>
  </xdr:twoCellAnchor>
  <xdr:twoCellAnchor>
    <xdr:from>
      <xdr:col>12</xdr:col>
      <xdr:colOff>733800</xdr:colOff>
      <xdr:row>1</xdr:row>
      <xdr:rowOff>38101</xdr:rowOff>
    </xdr:from>
    <xdr:to>
      <xdr:col>14</xdr:col>
      <xdr:colOff>400050</xdr:colOff>
      <xdr:row>2</xdr:row>
      <xdr:rowOff>115501</xdr:rowOff>
    </xdr:to>
    <xdr:sp macro="" textlink="">
      <xdr:nvSpPr>
        <xdr:cNvPr id="21" name="Rectangle à coins arrondis 2">
          <a:hlinkClick xmlns:r="http://schemas.openxmlformats.org/officeDocument/2006/relationships" r:id="rId4" tooltip="Scorecard"/>
        </xdr:cNvPr>
        <xdr:cNvSpPr>
          <a:spLocks noChangeArrowheads="1"/>
        </xdr:cNvSpPr>
      </xdr:nvSpPr>
      <xdr:spPr bwMode="auto">
        <a:xfrm>
          <a:off x="9696825" y="419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Scorecard</a:t>
          </a:r>
        </a:p>
      </xdr:txBody>
    </xdr:sp>
    <xdr:clientData/>
  </xdr:twoCellAnchor>
  <xdr:twoCellAnchor>
    <xdr:from>
      <xdr:col>9</xdr:col>
      <xdr:colOff>371475</xdr:colOff>
      <xdr:row>1</xdr:row>
      <xdr:rowOff>28575</xdr:rowOff>
    </xdr:from>
    <xdr:to>
      <xdr:col>10</xdr:col>
      <xdr:colOff>828300</xdr:colOff>
      <xdr:row>2</xdr:row>
      <xdr:rowOff>105975</xdr:rowOff>
    </xdr:to>
    <xdr:sp macro="" textlink="">
      <xdr:nvSpPr>
        <xdr:cNvPr id="22" name="Rectangle à coins arrondis 2">
          <a:hlinkClick xmlns:r="http://schemas.openxmlformats.org/officeDocument/2006/relationships" r:id="rId9" tooltip="Introduction"/>
        </xdr:cNvPr>
        <xdr:cNvSpPr>
          <a:spLocks noChangeArrowheads="1"/>
        </xdr:cNvSpPr>
      </xdr:nvSpPr>
      <xdr:spPr bwMode="auto">
        <a:xfrm>
          <a:off x="6572250" y="40957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Introduction</a:t>
          </a:r>
          <a:endParaRPr lang="fr-FR" sz="1200" b="0" i="0" u="none" strike="noStrike" baseline="0">
            <a:solidFill>
              <a:srgbClr val="FFA500"/>
            </a:solidFill>
            <a:latin typeface="Arial" panose="020B0604020202020204" pitchFamily="34" charset="0"/>
            <a:cs typeface="Arial" panose="020B0604020202020204" pitchFamily="34" charset="0"/>
          </a:endParaRPr>
        </a:p>
      </xdr:txBody>
    </xdr:sp>
    <xdr:clientData/>
  </xdr:twoCellAnchor>
  <xdr:twoCellAnchor>
    <xdr:from>
      <xdr:col>9</xdr:col>
      <xdr:colOff>371475</xdr:colOff>
      <xdr:row>2</xdr:row>
      <xdr:rowOff>180976</xdr:rowOff>
    </xdr:from>
    <xdr:to>
      <xdr:col>10</xdr:col>
      <xdr:colOff>828300</xdr:colOff>
      <xdr:row>4</xdr:row>
      <xdr:rowOff>29776</xdr:rowOff>
    </xdr:to>
    <xdr:sp macro="" textlink="">
      <xdr:nvSpPr>
        <xdr:cNvPr id="23" name="Rectangle à coins arrondis 2">
          <a:hlinkClick xmlns:r="http://schemas.openxmlformats.org/officeDocument/2006/relationships" r:id="rId3" tooltip="Project Information"/>
        </xdr:cNvPr>
        <xdr:cNvSpPr>
          <a:spLocks noChangeArrowheads="1"/>
        </xdr:cNvSpPr>
      </xdr:nvSpPr>
      <xdr:spPr bwMode="auto">
        <a:xfrm>
          <a:off x="6572250" y="79057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Project Information</a:t>
          </a:r>
        </a:p>
      </xdr:txBody>
    </xdr:sp>
    <xdr:clientData/>
  </xdr:twoCellAnchor>
  <xdr:twoCellAnchor>
    <xdr:from>
      <xdr:col>11</xdr:col>
      <xdr:colOff>57525</xdr:colOff>
      <xdr:row>2</xdr:row>
      <xdr:rowOff>190501</xdr:rowOff>
    </xdr:from>
    <xdr:to>
      <xdr:col>12</xdr:col>
      <xdr:colOff>657225</xdr:colOff>
      <xdr:row>4</xdr:row>
      <xdr:rowOff>39301</xdr:rowOff>
    </xdr:to>
    <xdr:sp macro="" textlink="">
      <xdr:nvSpPr>
        <xdr:cNvPr id="25" name="Rectangle à coins arrondis 2">
          <a:hlinkClick xmlns:r="http://schemas.openxmlformats.org/officeDocument/2006/relationships" r:id="rId10" tooltip="Graphical Results"/>
        </xdr:cNvPr>
        <xdr:cNvSpPr>
          <a:spLocks noChangeArrowheads="1"/>
        </xdr:cNvSpPr>
      </xdr:nvSpPr>
      <xdr:spPr bwMode="auto">
        <a:xfrm>
          <a:off x="8144250"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Graphical Results </a:t>
          </a:r>
        </a:p>
      </xdr:txBody>
    </xdr:sp>
    <xdr:clientData/>
  </xdr:twoCellAnchor>
  <xdr:twoCellAnchor>
    <xdr:from>
      <xdr:col>12</xdr:col>
      <xdr:colOff>742950</xdr:colOff>
      <xdr:row>2</xdr:row>
      <xdr:rowOff>190501</xdr:rowOff>
    </xdr:from>
    <xdr:to>
      <xdr:col>14</xdr:col>
      <xdr:colOff>409200</xdr:colOff>
      <xdr:row>4</xdr:row>
      <xdr:rowOff>39301</xdr:rowOff>
    </xdr:to>
    <xdr:sp macro="" textlink="">
      <xdr:nvSpPr>
        <xdr:cNvPr id="27" name="Rectangle à coins arrondis 2">
          <a:hlinkClick xmlns:r="http://schemas.openxmlformats.org/officeDocument/2006/relationships" r:id="rId11" tooltip="Glossary"/>
        </xdr:cNvPr>
        <xdr:cNvSpPr>
          <a:spLocks noChangeArrowheads="1"/>
        </xdr:cNvSpPr>
      </xdr:nvSpPr>
      <xdr:spPr bwMode="auto">
        <a:xfrm>
          <a:off x="9705975"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Glossary</a:t>
          </a:r>
        </a:p>
      </xdr:txBody>
    </xdr:sp>
    <xdr:clientData/>
  </xdr:twoCellAnchor>
  <xdr:twoCellAnchor editAs="oneCell">
    <xdr:from>
      <xdr:col>5</xdr:col>
      <xdr:colOff>533400</xdr:colOff>
      <xdr:row>24</xdr:row>
      <xdr:rowOff>28575</xdr:rowOff>
    </xdr:from>
    <xdr:to>
      <xdr:col>6</xdr:col>
      <xdr:colOff>77475</xdr:colOff>
      <xdr:row>24</xdr:row>
      <xdr:rowOff>496575</xdr:rowOff>
    </xdr:to>
    <xdr:pic>
      <xdr:nvPicPr>
        <xdr:cNvPr id="28" name="Picture 2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95700" y="4895850"/>
          <a:ext cx="468000" cy="468000"/>
        </a:xfrm>
        <a:prstGeom prst="rect">
          <a:avLst/>
        </a:prstGeom>
      </xdr:spPr>
    </xdr:pic>
    <xdr:clientData/>
  </xdr:twoCellAnchor>
  <xdr:twoCellAnchor editAs="oneCell">
    <xdr:from>
      <xdr:col>9</xdr:col>
      <xdr:colOff>733425</xdr:colOff>
      <xdr:row>24</xdr:row>
      <xdr:rowOff>28575</xdr:rowOff>
    </xdr:from>
    <xdr:to>
      <xdr:col>10</xdr:col>
      <xdr:colOff>182250</xdr:colOff>
      <xdr:row>24</xdr:row>
      <xdr:rowOff>496575</xdr:rowOff>
    </xdr:to>
    <xdr:pic>
      <xdr:nvPicPr>
        <xdr:cNvPr id="29" name="Picture 2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34200" y="4895850"/>
          <a:ext cx="468000" cy="468000"/>
        </a:xfrm>
        <a:prstGeom prst="rect">
          <a:avLst/>
        </a:prstGeom>
      </xdr:spPr>
    </xdr:pic>
    <xdr:clientData/>
  </xdr:twoCellAnchor>
  <xdr:twoCellAnchor editAs="oneCell">
    <xdr:from>
      <xdr:col>3</xdr:col>
      <xdr:colOff>457200</xdr:colOff>
      <xdr:row>24</xdr:row>
      <xdr:rowOff>28575</xdr:rowOff>
    </xdr:from>
    <xdr:to>
      <xdr:col>4</xdr:col>
      <xdr:colOff>210825</xdr:colOff>
      <xdr:row>24</xdr:row>
      <xdr:rowOff>496575</xdr:rowOff>
    </xdr:to>
    <xdr:pic>
      <xdr:nvPicPr>
        <xdr:cNvPr id="4" name="Picture 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90750" y="4895850"/>
          <a:ext cx="468000" cy="468000"/>
        </a:xfrm>
        <a:prstGeom prst="rect">
          <a:avLst/>
        </a:prstGeom>
      </xdr:spPr>
    </xdr:pic>
    <xdr:clientData/>
  </xdr:twoCellAnchor>
  <xdr:twoCellAnchor editAs="oneCell">
    <xdr:from>
      <xdr:col>7</xdr:col>
      <xdr:colOff>485775</xdr:colOff>
      <xdr:row>24</xdr:row>
      <xdr:rowOff>28575</xdr:rowOff>
    </xdr:from>
    <xdr:to>
      <xdr:col>8</xdr:col>
      <xdr:colOff>239400</xdr:colOff>
      <xdr:row>24</xdr:row>
      <xdr:rowOff>496575</xdr:rowOff>
    </xdr:to>
    <xdr:pic>
      <xdr:nvPicPr>
        <xdr:cNvPr id="7" name="Picture 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257800" y="4895850"/>
          <a:ext cx="468000" cy="468000"/>
        </a:xfrm>
        <a:prstGeom prst="rect">
          <a:avLst/>
        </a:prstGeom>
      </xdr:spPr>
    </xdr:pic>
    <xdr:clientData/>
  </xdr:twoCellAnchor>
  <xdr:twoCellAnchor>
    <xdr:from>
      <xdr:col>11</xdr:col>
      <xdr:colOff>523875</xdr:colOff>
      <xdr:row>58</xdr:row>
      <xdr:rowOff>133350</xdr:rowOff>
    </xdr:from>
    <xdr:to>
      <xdr:col>12</xdr:col>
      <xdr:colOff>895350</xdr:colOff>
      <xdr:row>60</xdr:row>
      <xdr:rowOff>64725</xdr:rowOff>
    </xdr:to>
    <xdr:sp macro="" textlink="">
      <xdr:nvSpPr>
        <xdr:cNvPr id="33" name="Rectangle à coins arrondis 2">
          <a:hlinkClick xmlns:r="http://schemas.openxmlformats.org/officeDocument/2006/relationships" r:id="rId16" tooltip="Additional Information"/>
        </xdr:cNvPr>
        <xdr:cNvSpPr>
          <a:spLocks noChangeArrowheads="1"/>
        </xdr:cNvSpPr>
      </xdr:nvSpPr>
      <xdr:spPr bwMode="auto">
        <a:xfrm>
          <a:off x="8705850" y="11591925"/>
          <a:ext cx="1247775" cy="360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0" rIns="36576" bIns="0" anchor="ctr" upright="1"/>
        <a:lstStyle/>
        <a:p>
          <a:pPr algn="ctr" rtl="0">
            <a:lnSpc>
              <a:spcPts val="1200"/>
            </a:lnSpc>
            <a:defRPr sz="1000"/>
          </a:pPr>
          <a:r>
            <a:rPr lang="fr-FR" sz="1200" b="0" i="0" u="none" strike="noStrike" baseline="0">
              <a:solidFill>
                <a:srgbClr val="FFA500"/>
              </a:solidFill>
              <a:latin typeface="Arial" pitchFamily="34" charset="0"/>
              <a:cs typeface="Arial" pitchFamily="34" charset="0"/>
            </a:rPr>
            <a:t>Additional Information</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450675</xdr:colOff>
      <xdr:row>3</xdr:row>
      <xdr:rowOff>57301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57150" y="409576"/>
          <a:ext cx="1860375"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561975</xdr:colOff>
      <xdr:row>1</xdr:row>
      <xdr:rowOff>114300</xdr:rowOff>
    </xdr:from>
    <xdr:to>
      <xdr:col>3</xdr:col>
      <xdr:colOff>818775</xdr:colOff>
      <xdr:row>3</xdr:row>
      <xdr:rowOff>57300</xdr:rowOff>
    </xdr:to>
    <xdr:sp macro="" textlink="">
      <xdr:nvSpPr>
        <xdr:cNvPr id="3" name="Rectangle à coins arrondis 4">
          <a:hlinkClick xmlns:r="http://schemas.openxmlformats.org/officeDocument/2006/relationships" r:id="rId2" tooltip="Scorecard"/>
        </xdr:cNvPr>
        <xdr:cNvSpPr>
          <a:spLocks noChangeArrowheads="1"/>
        </xdr:cNvSpPr>
      </xdr:nvSpPr>
      <xdr:spPr bwMode="auto">
        <a:xfrm>
          <a:off x="2028825"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628650</xdr:colOff>
      <xdr:row>1</xdr:row>
      <xdr:rowOff>133350</xdr:rowOff>
    </xdr:from>
    <xdr:to>
      <xdr:col>5</xdr:col>
      <xdr:colOff>56475</xdr:colOff>
      <xdr:row>3</xdr:row>
      <xdr:rowOff>40350</xdr:rowOff>
    </xdr:to>
    <xdr:sp macro="" textlink="">
      <xdr:nvSpPr>
        <xdr:cNvPr id="4" name="Rectangle à coins arrondis 2">
          <a:hlinkClick xmlns:r="http://schemas.openxmlformats.org/officeDocument/2006/relationships" r:id="rId3" tooltip="Strategy A"/>
        </xdr:cNvPr>
        <xdr:cNvSpPr>
          <a:spLocks noChangeArrowheads="1"/>
        </xdr:cNvSpPr>
      </xdr:nvSpPr>
      <xdr:spPr bwMode="auto">
        <a:xfrm>
          <a:off x="4552950" y="428625"/>
          <a:ext cx="837525"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85725</xdr:colOff>
      <xdr:row>1</xdr:row>
      <xdr:rowOff>133350</xdr:rowOff>
    </xdr:from>
    <xdr:to>
      <xdr:col>5</xdr:col>
      <xdr:colOff>913725</xdr:colOff>
      <xdr:row>3</xdr:row>
      <xdr:rowOff>40350</xdr:rowOff>
    </xdr:to>
    <xdr:sp macro="" textlink="">
      <xdr:nvSpPr>
        <xdr:cNvPr id="5" name="Rectangle à coins arrondis 2">
          <a:hlinkClick xmlns:r="http://schemas.openxmlformats.org/officeDocument/2006/relationships" r:id="rId4" tooltip="Strategy B"/>
        </xdr:cNvPr>
        <xdr:cNvSpPr>
          <a:spLocks noChangeArrowheads="1"/>
        </xdr:cNvSpPr>
      </xdr:nvSpPr>
      <xdr:spPr bwMode="auto">
        <a:xfrm>
          <a:off x="5419725" y="428625"/>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952499</xdr:colOff>
      <xdr:row>1</xdr:row>
      <xdr:rowOff>133350</xdr:rowOff>
    </xdr:from>
    <xdr:to>
      <xdr:col>6</xdr:col>
      <xdr:colOff>504149</xdr:colOff>
      <xdr:row>3</xdr:row>
      <xdr:rowOff>40350</xdr:rowOff>
    </xdr:to>
    <xdr:sp macro="" textlink="">
      <xdr:nvSpPr>
        <xdr:cNvPr id="6" name="Rectangle à coins arrondis 2">
          <a:hlinkClick xmlns:r="http://schemas.openxmlformats.org/officeDocument/2006/relationships" r:id="rId5" tooltip="Strategy C"/>
        </xdr:cNvPr>
        <xdr:cNvSpPr>
          <a:spLocks noChangeArrowheads="1"/>
        </xdr:cNvSpPr>
      </xdr:nvSpPr>
      <xdr:spPr bwMode="auto">
        <a:xfrm>
          <a:off x="6286499" y="428625"/>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533399</xdr:colOff>
      <xdr:row>1</xdr:row>
      <xdr:rowOff>133350</xdr:rowOff>
    </xdr:from>
    <xdr:to>
      <xdr:col>7</xdr:col>
      <xdr:colOff>65999</xdr:colOff>
      <xdr:row>3</xdr:row>
      <xdr:rowOff>40350</xdr:rowOff>
    </xdr:to>
    <xdr:sp macro="" textlink="">
      <xdr:nvSpPr>
        <xdr:cNvPr id="7" name="Rectangle à coins arrondis 2">
          <a:hlinkClick xmlns:r="http://schemas.openxmlformats.org/officeDocument/2006/relationships" r:id="rId6" tooltip="Strategy D"/>
        </xdr:cNvPr>
        <xdr:cNvSpPr>
          <a:spLocks noChangeArrowheads="1"/>
        </xdr:cNvSpPr>
      </xdr:nvSpPr>
      <xdr:spPr bwMode="auto">
        <a:xfrm>
          <a:off x="7143749" y="428625"/>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7</xdr:col>
      <xdr:colOff>95249</xdr:colOff>
      <xdr:row>1</xdr:row>
      <xdr:rowOff>133350</xdr:rowOff>
    </xdr:from>
    <xdr:to>
      <xdr:col>7</xdr:col>
      <xdr:colOff>923249</xdr:colOff>
      <xdr:row>3</xdr:row>
      <xdr:rowOff>40350</xdr:rowOff>
    </xdr:to>
    <xdr:sp macro="" textlink="">
      <xdr:nvSpPr>
        <xdr:cNvPr id="8" name="Rectangle à coins arrondis 2">
          <a:hlinkClick xmlns:r="http://schemas.openxmlformats.org/officeDocument/2006/relationships" r:id="rId7" tooltip="Strategy E"/>
        </xdr:cNvPr>
        <xdr:cNvSpPr>
          <a:spLocks noChangeArrowheads="1"/>
        </xdr:cNvSpPr>
      </xdr:nvSpPr>
      <xdr:spPr bwMode="auto">
        <a:xfrm>
          <a:off x="8000999" y="428625"/>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oneCellAnchor>
    <xdr:from>
      <xdr:col>1</xdr:col>
      <xdr:colOff>0</xdr:colOff>
      <xdr:row>23</xdr:row>
      <xdr:rowOff>104775</xdr:rowOff>
    </xdr:from>
    <xdr:ext cx="396000" cy="396000"/>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4325" y="4200525"/>
          <a:ext cx="396000" cy="396000"/>
        </a:xfrm>
        <a:prstGeom prst="rect">
          <a:avLst/>
        </a:prstGeom>
      </xdr:spPr>
    </xdr:pic>
    <xdr:clientData/>
  </xdr:oneCellAnchor>
  <xdr:oneCellAnchor>
    <xdr:from>
      <xdr:col>1</xdr:col>
      <xdr:colOff>38100</xdr:colOff>
      <xdr:row>44</xdr:row>
      <xdr:rowOff>114300</xdr:rowOff>
    </xdr:from>
    <xdr:ext cx="360000" cy="360000"/>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5486400"/>
          <a:ext cx="360000" cy="360000"/>
        </a:xfrm>
        <a:prstGeom prst="rect">
          <a:avLst/>
        </a:prstGeom>
      </xdr:spPr>
    </xdr:pic>
    <xdr:clientData/>
  </xdr:oneCellAnchor>
  <xdr:oneCellAnchor>
    <xdr:from>
      <xdr:col>1</xdr:col>
      <xdr:colOff>76200</xdr:colOff>
      <xdr:row>83</xdr:row>
      <xdr:rowOff>114300</xdr:rowOff>
    </xdr:from>
    <xdr:ext cx="396000" cy="396000"/>
    <xdr:pic>
      <xdr:nvPicPr>
        <xdr:cNvPr id="13" name="Picture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2982575"/>
          <a:ext cx="396000" cy="396000"/>
        </a:xfrm>
        <a:prstGeom prst="rect">
          <a:avLst/>
        </a:prstGeom>
      </xdr:spPr>
    </xdr:pic>
    <xdr:clientData/>
  </xdr:oneCellAnchor>
  <xdr:twoCellAnchor editAs="oneCell">
    <xdr:from>
      <xdr:col>1</xdr:col>
      <xdr:colOff>0</xdr:colOff>
      <xdr:row>134</xdr:row>
      <xdr:rowOff>0</xdr:rowOff>
    </xdr:from>
    <xdr:to>
      <xdr:col>1</xdr:col>
      <xdr:colOff>396000</xdr:colOff>
      <xdr:row>136</xdr:row>
      <xdr:rowOff>34050</xdr:rowOff>
    </xdr:to>
    <xdr:pic>
      <xdr:nvPicPr>
        <xdr:cNvPr id="10" name="Picture 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325" y="21917025"/>
          <a:ext cx="396000" cy="396000"/>
        </a:xfrm>
        <a:prstGeom prst="rect">
          <a:avLst/>
        </a:prstGeom>
      </xdr:spPr>
    </xdr:pic>
    <xdr:clientData/>
  </xdr:twoCellAnchor>
  <xdr:twoCellAnchor editAs="oneCell">
    <xdr:from>
      <xdr:col>1</xdr:col>
      <xdr:colOff>28575</xdr:colOff>
      <xdr:row>136</xdr:row>
      <xdr:rowOff>85725</xdr:rowOff>
    </xdr:from>
    <xdr:to>
      <xdr:col>1</xdr:col>
      <xdr:colOff>388575</xdr:colOff>
      <xdr:row>138</xdr:row>
      <xdr:rowOff>102825</xdr:rowOff>
    </xdr:to>
    <xdr:pic>
      <xdr:nvPicPr>
        <xdr:cNvPr id="16" name="Picture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225" y="25555575"/>
          <a:ext cx="360000" cy="360000"/>
        </a:xfrm>
        <a:prstGeom prst="rect">
          <a:avLst/>
        </a:prstGeom>
      </xdr:spPr>
    </xdr:pic>
    <xdr:clientData/>
  </xdr:twoCellAnchor>
  <xdr:oneCellAnchor>
    <xdr:from>
      <xdr:col>1</xdr:col>
      <xdr:colOff>76200</xdr:colOff>
      <xdr:row>129</xdr:row>
      <xdr:rowOff>76200</xdr:rowOff>
    </xdr:from>
    <xdr:ext cx="396000" cy="396000"/>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20621625"/>
          <a:ext cx="396000" cy="396000"/>
        </a:xfrm>
        <a:prstGeom prst="rect">
          <a:avLst/>
        </a:prstGeom>
      </xdr:spPr>
    </xdr:pic>
    <xdr:clientData/>
  </xdr:oneCellAnchor>
  <xdr:oneCellAnchor>
    <xdr:from>
      <xdr:col>1</xdr:col>
      <xdr:colOff>0</xdr:colOff>
      <xdr:row>170</xdr:row>
      <xdr:rowOff>76200</xdr:rowOff>
    </xdr:from>
    <xdr:ext cx="396000" cy="396000"/>
    <xdr:pic>
      <xdr:nvPicPr>
        <xdr:cNvPr id="19"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4325" y="29784675"/>
          <a:ext cx="396000" cy="396000"/>
        </a:xfrm>
        <a:prstGeom prst="rect">
          <a:avLst/>
        </a:prstGeom>
      </xdr:spPr>
    </xdr:pic>
    <xdr:clientData/>
  </xdr:oneCellAnchor>
  <xdr:twoCellAnchor>
    <xdr:from>
      <xdr:col>7</xdr:col>
      <xdr:colOff>990600</xdr:colOff>
      <xdr:row>1</xdr:row>
      <xdr:rowOff>104775</xdr:rowOff>
    </xdr:from>
    <xdr:to>
      <xdr:col>7</xdr:col>
      <xdr:colOff>1422600</xdr:colOff>
      <xdr:row>3</xdr:row>
      <xdr:rowOff>76200</xdr:rowOff>
    </xdr:to>
    <xdr:sp macro="" textlink="">
      <xdr:nvSpPr>
        <xdr:cNvPr id="22" name="Up Arrow 21">
          <a:hlinkClick xmlns:r="http://schemas.openxmlformats.org/officeDocument/2006/relationships" r:id="rId11" tooltip="Back to top"/>
        </xdr:cNvPr>
        <xdr:cNvSpPr/>
      </xdr:nvSpPr>
      <xdr:spPr>
        <a:xfrm>
          <a:off x="8848725" y="400050"/>
          <a:ext cx="432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28575</xdr:colOff>
      <xdr:row>231</xdr:row>
      <xdr:rowOff>76200</xdr:rowOff>
    </xdr:from>
    <xdr:ext cx="432000" cy="432000"/>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44491275"/>
          <a:ext cx="432000" cy="432000"/>
        </a:xfrm>
        <a:prstGeom prst="rect">
          <a:avLst/>
        </a:prstGeom>
      </xdr:spPr>
    </xdr:pic>
    <xdr:clientData/>
  </xdr:oneCellAnchor>
  <xdr:oneCellAnchor>
    <xdr:from>
      <xdr:col>1</xdr:col>
      <xdr:colOff>47625</xdr:colOff>
      <xdr:row>247</xdr:row>
      <xdr:rowOff>180975</xdr:rowOff>
    </xdr:from>
    <xdr:ext cx="360000" cy="360000"/>
    <xdr:pic>
      <xdr:nvPicPr>
        <xdr:cNvPr id="23" name="Picture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53597175"/>
          <a:ext cx="360000" cy="360000"/>
        </a:xfrm>
        <a:prstGeom prst="rect">
          <a:avLst/>
        </a:prstGeom>
      </xdr:spPr>
    </xdr:pic>
    <xdr:clientData/>
  </xdr:oneCellAnchor>
  <xdr:oneCellAnchor>
    <xdr:from>
      <xdr:col>1</xdr:col>
      <xdr:colOff>57150</xdr:colOff>
      <xdr:row>240</xdr:row>
      <xdr:rowOff>0</xdr:rowOff>
    </xdr:from>
    <xdr:ext cx="468000" cy="468000"/>
    <xdr:pic>
      <xdr:nvPicPr>
        <xdr:cNvPr id="24" name="Picture 2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38033325"/>
          <a:ext cx="468000" cy="468000"/>
        </a:xfrm>
        <a:prstGeom prst="rect">
          <a:avLst/>
        </a:prstGeom>
      </xdr:spPr>
    </xdr:pic>
    <xdr:clientData/>
  </xdr:oneCellAnchor>
  <xdr:oneCellAnchor>
    <xdr:from>
      <xdr:col>1</xdr:col>
      <xdr:colOff>85725</xdr:colOff>
      <xdr:row>244</xdr:row>
      <xdr:rowOff>104775</xdr:rowOff>
    </xdr:from>
    <xdr:ext cx="432000" cy="432000"/>
    <xdr:pic>
      <xdr:nvPicPr>
        <xdr:cNvPr id="25" name="Picture 2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38976300"/>
          <a:ext cx="432000" cy="432000"/>
        </a:xfrm>
        <a:prstGeom prst="rect">
          <a:avLst/>
        </a:prstGeom>
      </xdr:spPr>
    </xdr:pic>
    <xdr:clientData/>
  </xdr:oneCellAnchor>
  <xdr:oneCellAnchor>
    <xdr:from>
      <xdr:col>1</xdr:col>
      <xdr:colOff>76200</xdr:colOff>
      <xdr:row>92</xdr:row>
      <xdr:rowOff>66675</xdr:rowOff>
    </xdr:from>
    <xdr:ext cx="360000" cy="360000"/>
    <xdr:pic>
      <xdr:nvPicPr>
        <xdr:cNvPr id="26" name="Picture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21536025"/>
          <a:ext cx="360000" cy="360000"/>
        </a:xfrm>
        <a:prstGeom prst="rect">
          <a:avLst/>
        </a:prstGeom>
      </xdr:spPr>
    </xdr:pic>
    <xdr:clientData/>
  </xdr:oneCellAnchor>
  <xdr:twoCellAnchor>
    <xdr:from>
      <xdr:col>7</xdr:col>
      <xdr:colOff>1571625</xdr:colOff>
      <xdr:row>86</xdr:row>
      <xdr:rowOff>171451</xdr:rowOff>
    </xdr:from>
    <xdr:to>
      <xdr:col>10</xdr:col>
      <xdr:colOff>476250</xdr:colOff>
      <xdr:row>89</xdr:row>
      <xdr:rowOff>152401</xdr:rowOff>
    </xdr:to>
    <xdr:sp macro="" textlink="">
      <xdr:nvSpPr>
        <xdr:cNvPr id="27" name="Rectangle à coins arrondis 2">
          <a:hlinkClick xmlns:r="http://schemas.openxmlformats.org/officeDocument/2006/relationships" r:id="rId12" tooltip="Resources"/>
        </xdr:cNvPr>
        <xdr:cNvSpPr>
          <a:spLocks noChangeArrowheads="1"/>
        </xdr:cNvSpPr>
      </xdr:nvSpPr>
      <xdr:spPr bwMode="auto">
        <a:xfrm>
          <a:off x="9477375" y="20497801"/>
          <a:ext cx="2419350" cy="5715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a:t>
          </a:r>
          <a:r>
            <a:rPr lang="en-US" sz="1050">
              <a:effectLst/>
              <a:latin typeface="Arial" panose="020B0604020202020204" pitchFamily="34" charset="0"/>
              <a:ea typeface="+mn-ea"/>
              <a:cs typeface="Arial" panose="020B0604020202020204" pitchFamily="34" charset="0"/>
            </a:rPr>
            <a:t>recommendations on illuminance</a:t>
          </a:r>
          <a:r>
            <a:rPr lang="en-US" sz="1050" baseline="0">
              <a:effectLst/>
              <a:latin typeface="Arial" panose="020B0604020202020204" pitchFamily="34" charset="0"/>
              <a:ea typeface="+mn-ea"/>
              <a:cs typeface="Arial" panose="020B0604020202020204" pitchFamily="34" charset="0"/>
            </a:rPr>
            <a:t> uniformity from SLL</a:t>
          </a:r>
          <a:endParaRPr lang="fr-FR" sz="11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oneCellAnchor>
    <xdr:from>
      <xdr:col>1</xdr:col>
      <xdr:colOff>47625</xdr:colOff>
      <xdr:row>187</xdr:row>
      <xdr:rowOff>38100</xdr:rowOff>
    </xdr:from>
    <xdr:ext cx="360000" cy="360000"/>
    <xdr:pic>
      <xdr:nvPicPr>
        <xdr:cNvPr id="29"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37547550"/>
          <a:ext cx="360000" cy="360000"/>
        </a:xfrm>
        <a:prstGeom prst="rect">
          <a:avLst/>
        </a:prstGeom>
      </xdr:spPr>
    </xdr:pic>
    <xdr:clientData/>
  </xdr:oneCellAnchor>
  <xdr:twoCellAnchor editAs="oneCell">
    <xdr:from>
      <xdr:col>1</xdr:col>
      <xdr:colOff>28575</xdr:colOff>
      <xdr:row>182</xdr:row>
      <xdr:rowOff>133350</xdr:rowOff>
    </xdr:from>
    <xdr:to>
      <xdr:col>1</xdr:col>
      <xdr:colOff>532575</xdr:colOff>
      <xdr:row>185</xdr:row>
      <xdr:rowOff>48761</xdr:rowOff>
    </xdr:to>
    <xdr:pic>
      <xdr:nvPicPr>
        <xdr:cNvPr id="34" name="Picture 1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6225" y="40538400"/>
          <a:ext cx="504000" cy="486911"/>
        </a:xfrm>
        <a:prstGeom prst="rect">
          <a:avLst/>
        </a:prstGeom>
      </xdr:spPr>
    </xdr:pic>
    <xdr:clientData/>
  </xdr:twoCellAnchor>
  <xdr:oneCellAnchor>
    <xdr:from>
      <xdr:col>1</xdr:col>
      <xdr:colOff>57150</xdr:colOff>
      <xdr:row>177</xdr:row>
      <xdr:rowOff>76200</xdr:rowOff>
    </xdr:from>
    <xdr:ext cx="504000" cy="504000"/>
    <xdr:pic>
      <xdr:nvPicPr>
        <xdr:cNvPr id="35"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0" y="34832925"/>
          <a:ext cx="504000" cy="504000"/>
        </a:xfrm>
        <a:prstGeom prst="rect">
          <a:avLst/>
        </a:prstGeom>
      </xdr:spPr>
    </xdr:pic>
    <xdr:clientData/>
  </xdr:oneCellAnchor>
  <xdr:twoCellAnchor editAs="oneCell">
    <xdr:from>
      <xdr:col>1</xdr:col>
      <xdr:colOff>19050</xdr:colOff>
      <xdr:row>236</xdr:row>
      <xdr:rowOff>152400</xdr:rowOff>
    </xdr:from>
    <xdr:to>
      <xdr:col>1</xdr:col>
      <xdr:colOff>379050</xdr:colOff>
      <xdr:row>238</xdr:row>
      <xdr:rowOff>112350</xdr:rowOff>
    </xdr:to>
    <xdr:pic>
      <xdr:nvPicPr>
        <xdr:cNvPr id="38" name="Picture 3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700" y="51254025"/>
          <a:ext cx="360000" cy="360000"/>
        </a:xfrm>
        <a:prstGeom prst="rect">
          <a:avLst/>
        </a:prstGeom>
      </xdr:spPr>
    </xdr:pic>
    <xdr:clientData/>
  </xdr:twoCellAnchor>
  <xdr:oneCellAnchor>
    <xdr:from>
      <xdr:col>1</xdr:col>
      <xdr:colOff>28575</xdr:colOff>
      <xdr:row>27</xdr:row>
      <xdr:rowOff>95250</xdr:rowOff>
    </xdr:from>
    <xdr:ext cx="360000" cy="360000"/>
    <xdr:pic>
      <xdr:nvPicPr>
        <xdr:cNvPr id="39" name="Picture 3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4972050"/>
          <a:ext cx="360000" cy="360000"/>
        </a:xfrm>
        <a:prstGeom prst="rect">
          <a:avLst/>
        </a:prstGeom>
      </xdr:spPr>
    </xdr:pic>
    <xdr:clientData/>
  </xdr:oneCellAnchor>
  <xdr:twoCellAnchor>
    <xdr:from>
      <xdr:col>3</xdr:col>
      <xdr:colOff>1009650</xdr:colOff>
      <xdr:row>1</xdr:row>
      <xdr:rowOff>133350</xdr:rowOff>
    </xdr:from>
    <xdr:to>
      <xdr:col>4</xdr:col>
      <xdr:colOff>599400</xdr:colOff>
      <xdr:row>3</xdr:row>
      <xdr:rowOff>40350</xdr:rowOff>
    </xdr:to>
    <xdr:sp macro="" textlink="">
      <xdr:nvSpPr>
        <xdr:cNvPr id="40" name="Rectangle à coins arrondis 2">
          <a:hlinkClick xmlns:r="http://schemas.openxmlformats.org/officeDocument/2006/relationships" r:id="rId14" tooltip="Glossary of the credit"/>
        </xdr:cNvPr>
        <xdr:cNvSpPr>
          <a:spLocks noChangeArrowheads="1"/>
        </xdr:cNvSpPr>
      </xdr:nvSpPr>
      <xdr:spPr bwMode="auto">
        <a:xfrm>
          <a:off x="3695700" y="428625"/>
          <a:ext cx="82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editAs="oneCell">
    <xdr:from>
      <xdr:col>1</xdr:col>
      <xdr:colOff>19050</xdr:colOff>
      <xdr:row>16</xdr:row>
      <xdr:rowOff>257175</xdr:rowOff>
    </xdr:from>
    <xdr:to>
      <xdr:col>1</xdr:col>
      <xdr:colOff>521096</xdr:colOff>
      <xdr:row>18</xdr:row>
      <xdr:rowOff>208725</xdr:rowOff>
    </xdr:to>
    <xdr:pic>
      <xdr:nvPicPr>
        <xdr:cNvPr id="41" name="Picture 4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 y="4733925"/>
          <a:ext cx="502046" cy="504000"/>
        </a:xfrm>
        <a:prstGeom prst="rect">
          <a:avLst/>
        </a:prstGeom>
      </xdr:spPr>
    </xdr:pic>
    <xdr:clientData/>
  </xdr:twoCellAnchor>
  <xdr:oneCellAnchor>
    <xdr:from>
      <xdr:col>1</xdr:col>
      <xdr:colOff>76200</xdr:colOff>
      <xdr:row>87</xdr:row>
      <xdr:rowOff>95250</xdr:rowOff>
    </xdr:from>
    <xdr:ext cx="360000" cy="360000"/>
    <xdr:pic>
      <xdr:nvPicPr>
        <xdr:cNvPr id="44" name="Picture 4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0393025"/>
          <a:ext cx="360000" cy="360000"/>
        </a:xfrm>
        <a:prstGeom prst="rect">
          <a:avLst/>
        </a:prstGeom>
      </xdr:spPr>
    </xdr:pic>
    <xdr:clientData/>
  </xdr:oneCellAnchor>
  <xdr:twoCellAnchor editAs="oneCell">
    <xdr:from>
      <xdr:col>1</xdr:col>
      <xdr:colOff>66675</xdr:colOff>
      <xdr:row>89</xdr:row>
      <xdr:rowOff>161925</xdr:rowOff>
    </xdr:from>
    <xdr:to>
      <xdr:col>1</xdr:col>
      <xdr:colOff>426675</xdr:colOff>
      <xdr:row>91</xdr:row>
      <xdr:rowOff>112350</xdr:rowOff>
    </xdr:to>
    <xdr:pic>
      <xdr:nvPicPr>
        <xdr:cNvPr id="31" name="Picture 3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4325" y="21078825"/>
          <a:ext cx="360000" cy="36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1228725</xdr:colOff>
      <xdr:row>1</xdr:row>
      <xdr:rowOff>114300</xdr:rowOff>
    </xdr:from>
    <xdr:to>
      <xdr:col>4</xdr:col>
      <xdr:colOff>713175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857500"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990600</xdr:colOff>
      <xdr:row>1</xdr:row>
      <xdr:rowOff>142875</xdr:rowOff>
    </xdr:from>
    <xdr:to>
      <xdr:col>5</xdr:col>
      <xdr:colOff>805875</xdr:colOff>
      <xdr:row>3</xdr:row>
      <xdr:rowOff>49875</xdr:rowOff>
    </xdr:to>
    <xdr:sp macro="" textlink="">
      <xdr:nvSpPr>
        <xdr:cNvPr id="4" name="Rectangle à coins arrondis 2">
          <a:hlinkClick xmlns:r="http://schemas.openxmlformats.org/officeDocument/2006/relationships" r:id="rId3" tooltip="Strategy A"/>
        </xdr:cNvPr>
        <xdr:cNvSpPr>
          <a:spLocks noChangeArrowheads="1"/>
        </xdr:cNvSpPr>
      </xdr:nvSpPr>
      <xdr:spPr bwMode="auto">
        <a:xfrm>
          <a:off x="5114925" y="438150"/>
          <a:ext cx="104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885825</xdr:colOff>
      <xdr:row>1</xdr:row>
      <xdr:rowOff>142875</xdr:rowOff>
    </xdr:from>
    <xdr:to>
      <xdr:col>6</xdr:col>
      <xdr:colOff>701100</xdr:colOff>
      <xdr:row>3</xdr:row>
      <xdr:rowOff>49875</xdr:rowOff>
    </xdr:to>
    <xdr:sp macro="" textlink="">
      <xdr:nvSpPr>
        <xdr:cNvPr id="5" name="Rectangle à coins arrondis 2">
          <a:hlinkClick xmlns:r="http://schemas.openxmlformats.org/officeDocument/2006/relationships" r:id="rId4" tooltip="Strategy B"/>
        </xdr:cNvPr>
        <xdr:cNvSpPr>
          <a:spLocks noChangeArrowheads="1"/>
        </xdr:cNvSpPr>
      </xdr:nvSpPr>
      <xdr:spPr bwMode="auto">
        <a:xfrm>
          <a:off x="6238875" y="438150"/>
          <a:ext cx="104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790575</xdr:colOff>
      <xdr:row>1</xdr:row>
      <xdr:rowOff>142875</xdr:rowOff>
    </xdr:from>
    <xdr:to>
      <xdr:col>7</xdr:col>
      <xdr:colOff>367725</xdr:colOff>
      <xdr:row>3</xdr:row>
      <xdr:rowOff>49875</xdr:rowOff>
    </xdr:to>
    <xdr:sp macro="" textlink="">
      <xdr:nvSpPr>
        <xdr:cNvPr id="6" name="Rectangle à coins arrondis 2">
          <a:hlinkClick xmlns:r="http://schemas.openxmlformats.org/officeDocument/2006/relationships" r:id="rId5" tooltip="Strategy C"/>
        </xdr:cNvPr>
        <xdr:cNvSpPr>
          <a:spLocks noChangeArrowheads="1"/>
        </xdr:cNvSpPr>
      </xdr:nvSpPr>
      <xdr:spPr bwMode="auto">
        <a:xfrm>
          <a:off x="7372350" y="438150"/>
          <a:ext cx="104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editAs="oneCell">
    <xdr:from>
      <xdr:col>1</xdr:col>
      <xdr:colOff>28575</xdr:colOff>
      <xdr:row>135</xdr:row>
      <xdr:rowOff>123825</xdr:rowOff>
    </xdr:from>
    <xdr:to>
      <xdr:col>1</xdr:col>
      <xdr:colOff>388575</xdr:colOff>
      <xdr:row>137</xdr:row>
      <xdr:rowOff>102825</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11877675"/>
          <a:ext cx="360000" cy="360000"/>
        </a:xfrm>
        <a:prstGeom prst="rect">
          <a:avLst/>
        </a:prstGeom>
      </xdr:spPr>
    </xdr:pic>
    <xdr:clientData/>
  </xdr:twoCellAnchor>
  <xdr:oneCellAnchor>
    <xdr:from>
      <xdr:col>1</xdr:col>
      <xdr:colOff>0</xdr:colOff>
      <xdr:row>134</xdr:row>
      <xdr:rowOff>57150</xdr:rowOff>
    </xdr:from>
    <xdr:ext cx="396000" cy="396000"/>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0" y="11620500"/>
          <a:ext cx="396000" cy="396000"/>
        </a:xfrm>
        <a:prstGeom prst="rect">
          <a:avLst/>
        </a:prstGeom>
      </xdr:spPr>
    </xdr:pic>
    <xdr:clientData/>
  </xdr:oneCellAnchor>
  <xdr:twoCellAnchor editAs="oneCell">
    <xdr:from>
      <xdr:col>1</xdr:col>
      <xdr:colOff>28575</xdr:colOff>
      <xdr:row>137</xdr:row>
      <xdr:rowOff>180975</xdr:rowOff>
    </xdr:from>
    <xdr:to>
      <xdr:col>1</xdr:col>
      <xdr:colOff>388575</xdr:colOff>
      <xdr:row>139</xdr:row>
      <xdr:rowOff>83775</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12668250"/>
          <a:ext cx="360000" cy="360000"/>
        </a:xfrm>
        <a:prstGeom prst="rect">
          <a:avLst/>
        </a:prstGeom>
      </xdr:spPr>
    </xdr:pic>
    <xdr:clientData/>
  </xdr:twoCellAnchor>
  <xdr:oneCellAnchor>
    <xdr:from>
      <xdr:col>1</xdr:col>
      <xdr:colOff>57150</xdr:colOff>
      <xdr:row>175</xdr:row>
      <xdr:rowOff>85725</xdr:rowOff>
    </xdr:from>
    <xdr:ext cx="468000" cy="468000"/>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21050250"/>
          <a:ext cx="468000" cy="468000"/>
        </a:xfrm>
        <a:prstGeom prst="rect">
          <a:avLst/>
        </a:prstGeom>
      </xdr:spPr>
    </xdr:pic>
    <xdr:clientData/>
  </xdr:oneCellAnchor>
  <xdr:oneCellAnchor>
    <xdr:from>
      <xdr:col>1</xdr:col>
      <xdr:colOff>19050</xdr:colOff>
      <xdr:row>179</xdr:row>
      <xdr:rowOff>133350</xdr:rowOff>
    </xdr:from>
    <xdr:ext cx="360000" cy="360000"/>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050" y="24164925"/>
          <a:ext cx="360000" cy="360000"/>
        </a:xfrm>
        <a:prstGeom prst="rect">
          <a:avLst/>
        </a:prstGeom>
      </xdr:spPr>
    </xdr:pic>
    <xdr:clientData/>
  </xdr:oneCellAnchor>
  <xdr:oneCellAnchor>
    <xdr:from>
      <xdr:col>1</xdr:col>
      <xdr:colOff>28575</xdr:colOff>
      <xdr:row>181</xdr:row>
      <xdr:rowOff>190500</xdr:rowOff>
    </xdr:from>
    <xdr:ext cx="360000" cy="360000"/>
    <xdr:pic>
      <xdr:nvPicPr>
        <xdr:cNvPr id="13" name="Picture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22202775"/>
          <a:ext cx="360000" cy="360000"/>
        </a:xfrm>
        <a:prstGeom prst="rect">
          <a:avLst/>
        </a:prstGeom>
      </xdr:spPr>
    </xdr:pic>
    <xdr:clientData/>
  </xdr:oneCellAnchor>
  <xdr:twoCellAnchor>
    <xdr:from>
      <xdr:col>7</xdr:col>
      <xdr:colOff>571500</xdr:colOff>
      <xdr:row>1</xdr:row>
      <xdr:rowOff>104775</xdr:rowOff>
    </xdr:from>
    <xdr:to>
      <xdr:col>7</xdr:col>
      <xdr:colOff>1019175</xdr:colOff>
      <xdr:row>3</xdr:row>
      <xdr:rowOff>76200</xdr:rowOff>
    </xdr:to>
    <xdr:sp macro="" textlink="">
      <xdr:nvSpPr>
        <xdr:cNvPr id="14" name="Up Arrow 13">
          <a:hlinkClick xmlns:r="http://schemas.openxmlformats.org/officeDocument/2006/relationships" r:id="rId9" tooltip="Back to top"/>
        </xdr:cNvPr>
        <xdr:cNvSpPr/>
      </xdr:nvSpPr>
      <xdr:spPr>
        <a:xfrm>
          <a:off x="86201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21</xdr:row>
      <xdr:rowOff>104775</xdr:rowOff>
    </xdr:from>
    <xdr:ext cx="360000" cy="360000"/>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6591300"/>
          <a:ext cx="360000" cy="360000"/>
        </a:xfrm>
        <a:prstGeom prst="rect">
          <a:avLst/>
        </a:prstGeom>
      </xdr:spPr>
    </xdr:pic>
    <xdr:clientData/>
  </xdr:oneCellAnchor>
  <xdr:oneCellAnchor>
    <xdr:from>
      <xdr:col>1</xdr:col>
      <xdr:colOff>47625</xdr:colOff>
      <xdr:row>89</xdr:row>
      <xdr:rowOff>123825</xdr:rowOff>
    </xdr:from>
    <xdr:ext cx="360000" cy="360000"/>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6478250"/>
          <a:ext cx="360000" cy="360000"/>
        </a:xfrm>
        <a:prstGeom prst="rect">
          <a:avLst/>
        </a:prstGeom>
      </xdr:spPr>
    </xdr:pic>
    <xdr:clientData/>
  </xdr:oneCellAnchor>
  <xdr:oneCellAnchor>
    <xdr:from>
      <xdr:col>1</xdr:col>
      <xdr:colOff>85725</xdr:colOff>
      <xdr:row>31</xdr:row>
      <xdr:rowOff>47625</xdr:rowOff>
    </xdr:from>
    <xdr:ext cx="432000" cy="432000"/>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12439650"/>
          <a:ext cx="432000" cy="432000"/>
        </a:xfrm>
        <a:prstGeom prst="rect">
          <a:avLst/>
        </a:prstGeom>
      </xdr:spPr>
    </xdr:pic>
    <xdr:clientData/>
  </xdr:oneCellAnchor>
  <xdr:oneCellAnchor>
    <xdr:from>
      <xdr:col>1</xdr:col>
      <xdr:colOff>66675</xdr:colOff>
      <xdr:row>52</xdr:row>
      <xdr:rowOff>57150</xdr:rowOff>
    </xdr:from>
    <xdr:ext cx="540000" cy="540000"/>
    <xdr:pic>
      <xdr:nvPicPr>
        <xdr:cNvPr id="21" name="Picture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15887700"/>
          <a:ext cx="540000" cy="540000"/>
        </a:xfrm>
        <a:prstGeom prst="rect">
          <a:avLst/>
        </a:prstGeom>
      </xdr:spPr>
    </xdr:pic>
    <xdr:clientData/>
  </xdr:oneCellAnchor>
  <xdr:oneCellAnchor>
    <xdr:from>
      <xdr:col>1</xdr:col>
      <xdr:colOff>9525</xdr:colOff>
      <xdr:row>17</xdr:row>
      <xdr:rowOff>95250</xdr:rowOff>
    </xdr:from>
    <xdr:ext cx="396000" cy="396000"/>
    <xdr:pic>
      <xdr:nvPicPr>
        <xdr:cNvPr id="22" name="Pictur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6886575"/>
          <a:ext cx="396000" cy="396000"/>
        </a:xfrm>
        <a:prstGeom prst="rect">
          <a:avLst/>
        </a:prstGeom>
      </xdr:spPr>
    </xdr:pic>
    <xdr:clientData/>
  </xdr:oneCellAnchor>
  <xdr:twoCellAnchor>
    <xdr:from>
      <xdr:col>7</xdr:col>
      <xdr:colOff>819150</xdr:colOff>
      <xdr:row>61</xdr:row>
      <xdr:rowOff>114299</xdr:rowOff>
    </xdr:from>
    <xdr:to>
      <xdr:col>8</xdr:col>
      <xdr:colOff>866775</xdr:colOff>
      <xdr:row>63</xdr:row>
      <xdr:rowOff>47624</xdr:rowOff>
    </xdr:to>
    <xdr:sp macro="" textlink="">
      <xdr:nvSpPr>
        <xdr:cNvPr id="19" name="Rectangle à coins arrondis 2">
          <a:hlinkClick xmlns:r="http://schemas.openxmlformats.org/officeDocument/2006/relationships" r:id="rId10" tooltip="Resources"/>
        </xdr:cNvPr>
        <xdr:cNvSpPr>
          <a:spLocks noChangeArrowheads="1"/>
        </xdr:cNvSpPr>
      </xdr:nvSpPr>
      <xdr:spPr bwMode="auto">
        <a:xfrm>
          <a:off x="8791575" y="14992349"/>
          <a:ext cx="1552575" cy="3143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Arial" panose="020B0604020202020204" pitchFamily="34" charset="0"/>
              <a:cs typeface="Arial" panose="020B0604020202020204" pitchFamily="34" charset="0"/>
            </a:rPr>
            <a:t>See Table A-1</a:t>
          </a:r>
          <a:endParaRPr lang="fr-FR" sz="11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285750</xdr:colOff>
      <xdr:row>1</xdr:row>
      <xdr:rowOff>123826</xdr:rowOff>
    </xdr:from>
    <xdr:to>
      <xdr:col>2</xdr:col>
      <xdr:colOff>732225</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285750" y="419101"/>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1076325</xdr:colOff>
      <xdr:row>1</xdr:row>
      <xdr:rowOff>123825</xdr:rowOff>
    </xdr:from>
    <xdr:to>
      <xdr:col>4</xdr:col>
      <xdr:colOff>608400</xdr:colOff>
      <xdr:row>3</xdr:row>
      <xdr:rowOff>66825</xdr:rowOff>
    </xdr:to>
    <xdr:sp macro="" textlink="">
      <xdr:nvSpPr>
        <xdr:cNvPr id="3" name="Rectangle à coins arrondis 4">
          <a:hlinkClick xmlns:r="http://schemas.openxmlformats.org/officeDocument/2006/relationships" r:id="rId2" tooltip="Scorecard"/>
        </xdr:cNvPr>
        <xdr:cNvSpPr>
          <a:spLocks noChangeArrowheads="1"/>
        </xdr:cNvSpPr>
      </xdr:nvSpPr>
      <xdr:spPr bwMode="auto">
        <a:xfrm>
          <a:off x="2609850" y="4191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1152525</xdr:colOff>
      <xdr:row>5</xdr:row>
      <xdr:rowOff>76200</xdr:rowOff>
    </xdr:from>
    <xdr:to>
      <xdr:col>7</xdr:col>
      <xdr:colOff>1117125</xdr:colOff>
      <xdr:row>6</xdr:row>
      <xdr:rowOff>80550</xdr:rowOff>
    </xdr:to>
    <xdr:sp macro="" textlink="">
      <xdr:nvSpPr>
        <xdr:cNvPr id="9" name="Rectangle à coins arrondis 2">
          <a:hlinkClick xmlns:r="http://schemas.openxmlformats.org/officeDocument/2006/relationships" r:id="rId3" tooltip="Option A"/>
        </xdr:cNvPr>
        <xdr:cNvSpPr>
          <a:spLocks noChangeArrowheads="1"/>
        </xdr:cNvSpPr>
      </xdr:nvSpPr>
      <xdr:spPr bwMode="auto">
        <a:xfrm>
          <a:off x="7591425" y="1209675"/>
          <a:ext cx="126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1238250</xdr:colOff>
      <xdr:row>5</xdr:row>
      <xdr:rowOff>76200</xdr:rowOff>
    </xdr:from>
    <xdr:to>
      <xdr:col>8</xdr:col>
      <xdr:colOff>974250</xdr:colOff>
      <xdr:row>6</xdr:row>
      <xdr:rowOff>80550</xdr:rowOff>
    </xdr:to>
    <xdr:sp macro="" textlink="">
      <xdr:nvSpPr>
        <xdr:cNvPr id="10" name="Rectangle à coins arrondis 2">
          <a:hlinkClick xmlns:r="http://schemas.openxmlformats.org/officeDocument/2006/relationships" r:id="rId4" tooltip="Option B"/>
        </xdr:cNvPr>
        <xdr:cNvSpPr>
          <a:spLocks noChangeArrowheads="1"/>
        </xdr:cNvSpPr>
      </xdr:nvSpPr>
      <xdr:spPr bwMode="auto">
        <a:xfrm>
          <a:off x="8972550" y="1209675"/>
          <a:ext cx="1260000" cy="271050"/>
        </a:xfrm>
        <a:prstGeom prst="roundRect">
          <a:avLst>
            <a:gd name="adj" fmla="val 16667"/>
          </a:avLst>
        </a:prstGeom>
        <a:solidFill>
          <a:schemeClr val="accent2">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6</xdr:col>
      <xdr:colOff>676275</xdr:colOff>
      <xdr:row>5</xdr:row>
      <xdr:rowOff>85725</xdr:rowOff>
    </xdr:from>
    <xdr:to>
      <xdr:col>6</xdr:col>
      <xdr:colOff>1000275</xdr:colOff>
      <xdr:row>6</xdr:row>
      <xdr:rowOff>90075</xdr:rowOff>
    </xdr:to>
    <xdr:sp macro="" textlink="">
      <xdr:nvSpPr>
        <xdr:cNvPr id="11" name="Flèche droite 6"/>
        <xdr:cNvSpPr/>
      </xdr:nvSpPr>
      <xdr:spPr>
        <a:xfrm>
          <a:off x="7115175" y="1219200"/>
          <a:ext cx="324000" cy="271050"/>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oneCellAnchor>
    <xdr:from>
      <xdr:col>1</xdr:col>
      <xdr:colOff>0</xdr:colOff>
      <xdr:row>19</xdr:row>
      <xdr:rowOff>95250</xdr:rowOff>
    </xdr:from>
    <xdr:ext cx="396000" cy="396000"/>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 y="5657850"/>
          <a:ext cx="396000" cy="396000"/>
        </a:xfrm>
        <a:prstGeom prst="rect">
          <a:avLst/>
        </a:prstGeom>
      </xdr:spPr>
    </xdr:pic>
    <xdr:clientData/>
  </xdr:oneCellAnchor>
  <xdr:twoCellAnchor editAs="oneCell">
    <xdr:from>
      <xdr:col>1</xdr:col>
      <xdr:colOff>38100</xdr:colOff>
      <xdr:row>63</xdr:row>
      <xdr:rowOff>123825</xdr:rowOff>
    </xdr:from>
    <xdr:to>
      <xdr:col>1</xdr:col>
      <xdr:colOff>398100</xdr:colOff>
      <xdr:row>65</xdr:row>
      <xdr:rowOff>102825</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27146250"/>
          <a:ext cx="360000" cy="360000"/>
        </a:xfrm>
        <a:prstGeom prst="rect">
          <a:avLst/>
        </a:prstGeom>
      </xdr:spPr>
    </xdr:pic>
    <xdr:clientData/>
  </xdr:twoCellAnchor>
  <xdr:twoCellAnchor editAs="oneCell">
    <xdr:from>
      <xdr:col>1</xdr:col>
      <xdr:colOff>9525</xdr:colOff>
      <xdr:row>88</xdr:row>
      <xdr:rowOff>104775</xdr:rowOff>
    </xdr:from>
    <xdr:to>
      <xdr:col>1</xdr:col>
      <xdr:colOff>405525</xdr:colOff>
      <xdr:row>90</xdr:row>
      <xdr:rowOff>119775</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27717750"/>
          <a:ext cx="396000" cy="396000"/>
        </a:xfrm>
        <a:prstGeom prst="rect">
          <a:avLst/>
        </a:prstGeom>
      </xdr:spPr>
    </xdr:pic>
    <xdr:clientData/>
  </xdr:twoCellAnchor>
  <xdr:oneCellAnchor>
    <xdr:from>
      <xdr:col>1</xdr:col>
      <xdr:colOff>38100</xdr:colOff>
      <xdr:row>91</xdr:row>
      <xdr:rowOff>114300</xdr:rowOff>
    </xdr:from>
    <xdr:ext cx="360000" cy="360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28298775"/>
          <a:ext cx="360000" cy="360000"/>
        </a:xfrm>
        <a:prstGeom prst="rect">
          <a:avLst/>
        </a:prstGeom>
      </xdr:spPr>
    </xdr:pic>
    <xdr:clientData/>
  </xdr:oneCellAnchor>
  <xdr:oneCellAnchor>
    <xdr:from>
      <xdr:col>1</xdr:col>
      <xdr:colOff>38100</xdr:colOff>
      <xdr:row>22</xdr:row>
      <xdr:rowOff>114300</xdr:rowOff>
    </xdr:from>
    <xdr:ext cx="360000" cy="360000"/>
    <xdr:pic>
      <xdr:nvPicPr>
        <xdr:cNvPr id="13" name="Picture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11363325"/>
          <a:ext cx="360000" cy="360000"/>
        </a:xfrm>
        <a:prstGeom prst="rect">
          <a:avLst/>
        </a:prstGeom>
      </xdr:spPr>
    </xdr:pic>
    <xdr:clientData/>
  </xdr:oneCellAnchor>
  <xdr:twoCellAnchor>
    <xdr:from>
      <xdr:col>7</xdr:col>
      <xdr:colOff>428625</xdr:colOff>
      <xdr:row>1</xdr:row>
      <xdr:rowOff>104775</xdr:rowOff>
    </xdr:from>
    <xdr:to>
      <xdr:col>7</xdr:col>
      <xdr:colOff>876300</xdr:colOff>
      <xdr:row>3</xdr:row>
      <xdr:rowOff>76200</xdr:rowOff>
    </xdr:to>
    <xdr:sp macro="" textlink="">
      <xdr:nvSpPr>
        <xdr:cNvPr id="17" name="Up Arrow 16">
          <a:hlinkClick xmlns:r="http://schemas.openxmlformats.org/officeDocument/2006/relationships" r:id="rId9" tooltip="Back to top"/>
        </xdr:cNvPr>
        <xdr:cNvSpPr/>
      </xdr:nvSpPr>
      <xdr:spPr>
        <a:xfrm>
          <a:off x="81629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857250</xdr:colOff>
      <xdr:row>21</xdr:row>
      <xdr:rowOff>161925</xdr:rowOff>
    </xdr:from>
    <xdr:to>
      <xdr:col>10</xdr:col>
      <xdr:colOff>57150</xdr:colOff>
      <xdr:row>24</xdr:row>
      <xdr:rowOff>66675</xdr:rowOff>
    </xdr:to>
    <xdr:sp macro="" textlink="">
      <xdr:nvSpPr>
        <xdr:cNvPr id="18" name="Rectangle à coins arrondis 2">
          <a:hlinkClick xmlns:r="http://schemas.openxmlformats.org/officeDocument/2006/relationships" r:id="rId10" tooltip="Resources"/>
        </xdr:cNvPr>
        <xdr:cNvSpPr>
          <a:spLocks noChangeArrowheads="1"/>
        </xdr:cNvSpPr>
      </xdr:nvSpPr>
      <xdr:spPr bwMode="auto">
        <a:xfrm>
          <a:off x="7296150" y="5381625"/>
          <a:ext cx="3619500" cy="47625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a:t>
          </a:r>
          <a:r>
            <a:rPr lang="fr-FR" sz="1100" b="0" i="0" u="none" strike="noStrike" baseline="0">
              <a:solidFill>
                <a:srgbClr val="000000"/>
              </a:solidFill>
              <a:latin typeface="Arial" panose="020B0604020202020204" pitchFamily="34" charset="0"/>
              <a:ea typeface="+mn-ea"/>
              <a:cs typeface="Arial" panose="020B0604020202020204" pitchFamily="34" charset="0"/>
            </a:rPr>
            <a:t>here to see </a:t>
          </a:r>
          <a:r>
            <a:rPr lang="en-US" sz="1100" b="0" i="0" u="none" strike="noStrike" baseline="0">
              <a:solidFill>
                <a:srgbClr val="000000"/>
              </a:solidFill>
              <a:latin typeface="Arial" panose="020B0604020202020204" pitchFamily="34" charset="0"/>
              <a:ea typeface="+mn-ea"/>
              <a:cs typeface="Arial" panose="020B0604020202020204" pitchFamily="34" charset="0"/>
            </a:rPr>
            <a:t>the maximum permitted noise levels for public buildings in </a:t>
          </a:r>
          <a:r>
            <a:rPr lang="en-US" sz="1100">
              <a:effectLst/>
              <a:latin typeface="Arial" panose="020B0604020202020204" pitchFamily="34" charset="0"/>
              <a:ea typeface="+mn-ea"/>
              <a:cs typeface="Arial" panose="020B0604020202020204" pitchFamily="34" charset="0"/>
            </a:rPr>
            <a:t>TCXDVN 175:2005 </a:t>
          </a:r>
          <a:endParaRPr lang="fr-FR" sz="11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133350</xdr:colOff>
      <xdr:row>1</xdr:row>
      <xdr:rowOff>114300</xdr:rowOff>
    </xdr:from>
    <xdr:to>
      <xdr:col>4</xdr:col>
      <xdr:colOff>1064625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28950"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66675</xdr:colOff>
      <xdr:row>15</xdr:row>
      <xdr:rowOff>28575</xdr:rowOff>
    </xdr:from>
    <xdr:to>
      <xdr:col>1</xdr:col>
      <xdr:colOff>462675</xdr:colOff>
      <xdr:row>16</xdr:row>
      <xdr:rowOff>195975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3876675"/>
          <a:ext cx="396000" cy="396000"/>
        </a:xfrm>
        <a:prstGeom prst="rect">
          <a:avLst/>
        </a:prstGeom>
      </xdr:spPr>
    </xdr:pic>
    <xdr:clientData/>
  </xdr:twoCellAnchor>
  <xdr:oneCellAnchor>
    <xdr:from>
      <xdr:col>1</xdr:col>
      <xdr:colOff>38100</xdr:colOff>
      <xdr:row>17</xdr:row>
      <xdr:rowOff>114300</xdr:rowOff>
    </xdr:from>
    <xdr:ext cx="360000" cy="360000"/>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5486400"/>
          <a:ext cx="360000" cy="360000"/>
        </a:xfrm>
        <a:prstGeom prst="rect">
          <a:avLst/>
        </a:prstGeom>
      </xdr:spPr>
    </xdr:pic>
    <xdr:clientData/>
  </xdr:oneCellAnchor>
  <xdr:oneCellAnchor>
    <xdr:from>
      <xdr:col>1</xdr:col>
      <xdr:colOff>38100</xdr:colOff>
      <xdr:row>22</xdr:row>
      <xdr:rowOff>123825</xdr:rowOff>
    </xdr:from>
    <xdr:ext cx="360000" cy="360000"/>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5400675"/>
          <a:ext cx="360000" cy="360000"/>
        </a:xfrm>
        <a:prstGeom prst="rect">
          <a:avLst/>
        </a:prstGeom>
      </xdr:spPr>
    </xdr:pic>
    <xdr:clientData/>
  </xdr:oneCellAnchor>
  <xdr:twoCellAnchor editAs="oneCell">
    <xdr:from>
      <xdr:col>1</xdr:col>
      <xdr:colOff>28575</xdr:colOff>
      <xdr:row>46</xdr:row>
      <xdr:rowOff>85725</xdr:rowOff>
    </xdr:from>
    <xdr:to>
      <xdr:col>1</xdr:col>
      <xdr:colOff>388575</xdr:colOff>
      <xdr:row>48</xdr:row>
      <xdr:rowOff>93300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9725025"/>
          <a:ext cx="360000" cy="360000"/>
        </a:xfrm>
        <a:prstGeom prst="rect">
          <a:avLst/>
        </a:prstGeom>
      </xdr:spPr>
    </xdr:pic>
    <xdr:clientData/>
  </xdr:twoCellAnchor>
  <xdr:oneCellAnchor>
    <xdr:from>
      <xdr:col>1</xdr:col>
      <xdr:colOff>38100</xdr:colOff>
      <xdr:row>48</xdr:row>
      <xdr:rowOff>123825</xdr:rowOff>
    </xdr:from>
    <xdr:ext cx="360000" cy="360000"/>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5400675"/>
          <a:ext cx="360000" cy="360000"/>
        </a:xfrm>
        <a:prstGeom prst="rect">
          <a:avLst/>
        </a:prstGeom>
      </xdr:spPr>
    </xdr:pic>
    <xdr:clientData/>
  </xdr:oneCellAnchor>
  <xdr:twoCellAnchor>
    <xdr:from>
      <xdr:col>7</xdr:col>
      <xdr:colOff>342900</xdr:colOff>
      <xdr:row>1</xdr:row>
      <xdr:rowOff>104775</xdr:rowOff>
    </xdr:from>
    <xdr:to>
      <xdr:col>7</xdr:col>
      <xdr:colOff>790575</xdr:colOff>
      <xdr:row>3</xdr:row>
      <xdr:rowOff>76200</xdr:rowOff>
    </xdr:to>
    <xdr:sp macro="" textlink="">
      <xdr:nvSpPr>
        <xdr:cNvPr id="9" name="Up Arrow 8">
          <a:hlinkClick xmlns:r="http://schemas.openxmlformats.org/officeDocument/2006/relationships" r:id="rId5" tooltip="Back to top"/>
        </xdr:cNvPr>
        <xdr:cNvSpPr/>
      </xdr:nvSpPr>
      <xdr:spPr>
        <a:xfrm>
          <a:off x="855345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201082</xdr:colOff>
      <xdr:row>0</xdr:row>
      <xdr:rowOff>42333</xdr:rowOff>
    </xdr:from>
    <xdr:to>
      <xdr:col>11</xdr:col>
      <xdr:colOff>130237</xdr:colOff>
      <xdr:row>2</xdr:row>
      <xdr:rowOff>170808</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0082" y="42333"/>
          <a:ext cx="860488" cy="901058"/>
        </a:xfrm>
        <a:prstGeom prst="rect">
          <a:avLst/>
        </a:prstGeom>
      </xdr:spPr>
    </xdr:pic>
    <xdr:clientData/>
  </xdr:twoCellAnchor>
  <xdr:twoCellAnchor>
    <xdr:from>
      <xdr:col>0</xdr:col>
      <xdr:colOff>380996</xdr:colOff>
      <xdr:row>12</xdr:row>
      <xdr:rowOff>211668</xdr:rowOff>
    </xdr:from>
    <xdr:to>
      <xdr:col>1</xdr:col>
      <xdr:colOff>1979996</xdr:colOff>
      <xdr:row>14</xdr:row>
      <xdr:rowOff>21335</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80996" y="3577168"/>
          <a:ext cx="1980000"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228599</xdr:colOff>
      <xdr:row>1</xdr:row>
      <xdr:rowOff>114301</xdr:rowOff>
    </xdr:from>
    <xdr:to>
      <xdr:col>3</xdr:col>
      <xdr:colOff>132449</xdr:colOff>
      <xdr:row>3</xdr:row>
      <xdr:rowOff>57301</xdr:rowOff>
    </xdr:to>
    <xdr:sp macro="" textlink="">
      <xdr:nvSpPr>
        <xdr:cNvPr id="2" name="Rectangle à coins arrondis 2">
          <a:hlinkClick xmlns:r="http://schemas.openxmlformats.org/officeDocument/2006/relationships" r:id="rId1" tooltip="Back to LT"/>
        </xdr:cNvPr>
        <xdr:cNvSpPr>
          <a:spLocks noChangeArrowheads="1"/>
        </xdr:cNvSpPr>
      </xdr:nvSpPr>
      <xdr:spPr bwMode="auto">
        <a:xfrm>
          <a:off x="228599" y="409576"/>
          <a:ext cx="2628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Location &amp; Transportation</a:t>
          </a:r>
        </a:p>
      </xdr:txBody>
    </xdr:sp>
    <xdr:clientData/>
  </xdr:twoCellAnchor>
  <xdr:twoCellAnchor>
    <xdr:from>
      <xdr:col>3</xdr:col>
      <xdr:colOff>600075</xdr:colOff>
      <xdr:row>1</xdr:row>
      <xdr:rowOff>104775</xdr:rowOff>
    </xdr:from>
    <xdr:to>
      <xdr:col>5</xdr:col>
      <xdr:colOff>302625</xdr:colOff>
      <xdr:row>3</xdr:row>
      <xdr:rowOff>47775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324225"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20</xdr:row>
      <xdr:rowOff>76200</xdr:rowOff>
    </xdr:from>
    <xdr:to>
      <xdr:col>1</xdr:col>
      <xdr:colOff>405525</xdr:colOff>
      <xdr:row>22</xdr:row>
      <xdr:rowOff>110250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4791075"/>
          <a:ext cx="396000" cy="396000"/>
        </a:xfrm>
        <a:prstGeom prst="rect">
          <a:avLst/>
        </a:prstGeom>
      </xdr:spPr>
    </xdr:pic>
    <xdr:clientData/>
  </xdr:twoCellAnchor>
  <xdr:twoCellAnchor editAs="oneCell">
    <xdr:from>
      <xdr:col>1</xdr:col>
      <xdr:colOff>28575</xdr:colOff>
      <xdr:row>22</xdr:row>
      <xdr:rowOff>180975</xdr:rowOff>
    </xdr:from>
    <xdr:to>
      <xdr:col>1</xdr:col>
      <xdr:colOff>388575</xdr:colOff>
      <xdr:row>24</xdr:row>
      <xdr:rowOff>83775</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4829175"/>
          <a:ext cx="360000" cy="360000"/>
        </a:xfrm>
        <a:prstGeom prst="rect">
          <a:avLst/>
        </a:prstGeom>
      </xdr:spPr>
    </xdr:pic>
    <xdr:clientData/>
  </xdr:twoCellAnchor>
  <xdr:oneCellAnchor>
    <xdr:from>
      <xdr:col>1</xdr:col>
      <xdr:colOff>9525</xdr:colOff>
      <xdr:row>47</xdr:row>
      <xdr:rowOff>104775</xdr:rowOff>
    </xdr:from>
    <xdr:ext cx="396000" cy="396000"/>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4371975"/>
          <a:ext cx="396000" cy="396000"/>
        </a:xfrm>
        <a:prstGeom prst="rect">
          <a:avLst/>
        </a:prstGeom>
      </xdr:spPr>
    </xdr:pic>
    <xdr:clientData/>
  </xdr:oneCellAnchor>
  <xdr:oneCellAnchor>
    <xdr:from>
      <xdr:col>1</xdr:col>
      <xdr:colOff>28575</xdr:colOff>
      <xdr:row>50</xdr:row>
      <xdr:rowOff>57150</xdr:rowOff>
    </xdr:from>
    <xdr:ext cx="360000" cy="360000"/>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10477500"/>
          <a:ext cx="360000" cy="360000"/>
        </a:xfrm>
        <a:prstGeom prst="rect">
          <a:avLst/>
        </a:prstGeom>
      </xdr:spPr>
    </xdr:pic>
    <xdr:clientData/>
  </xdr:oneCellAnchor>
  <xdr:twoCellAnchor>
    <xdr:from>
      <xdr:col>7</xdr:col>
      <xdr:colOff>914400</xdr:colOff>
      <xdr:row>5</xdr:row>
      <xdr:rowOff>95250</xdr:rowOff>
    </xdr:from>
    <xdr:to>
      <xdr:col>8</xdr:col>
      <xdr:colOff>527550</xdr:colOff>
      <xdr:row>6</xdr:row>
      <xdr:rowOff>99600</xdr:rowOff>
    </xdr:to>
    <xdr:sp macro="" textlink="">
      <xdr:nvSpPr>
        <xdr:cNvPr id="12" name="Rectangle à coins arrondis 2">
          <a:hlinkClick xmlns:r="http://schemas.openxmlformats.org/officeDocument/2006/relationships" r:id="rId5" tooltip="Option A"/>
        </xdr:cNvPr>
        <xdr:cNvSpPr>
          <a:spLocks noChangeArrowheads="1"/>
        </xdr:cNvSpPr>
      </xdr:nvSpPr>
      <xdr:spPr bwMode="auto">
        <a:xfrm>
          <a:off x="8648700" y="1228725"/>
          <a:ext cx="108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9</xdr:col>
      <xdr:colOff>47625</xdr:colOff>
      <xdr:row>5</xdr:row>
      <xdr:rowOff>95250</xdr:rowOff>
    </xdr:from>
    <xdr:to>
      <xdr:col>10</xdr:col>
      <xdr:colOff>546600</xdr:colOff>
      <xdr:row>6</xdr:row>
      <xdr:rowOff>99600</xdr:rowOff>
    </xdr:to>
    <xdr:sp macro="" textlink="">
      <xdr:nvSpPr>
        <xdr:cNvPr id="13" name="Rectangle à coins arrondis 2">
          <a:hlinkClick xmlns:r="http://schemas.openxmlformats.org/officeDocument/2006/relationships" r:id="rId6" tooltip="Option B"/>
        </xdr:cNvPr>
        <xdr:cNvSpPr>
          <a:spLocks noChangeArrowheads="1"/>
        </xdr:cNvSpPr>
      </xdr:nvSpPr>
      <xdr:spPr bwMode="auto">
        <a:xfrm>
          <a:off x="9829800" y="1228725"/>
          <a:ext cx="108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7</xdr:col>
      <xdr:colOff>466725</xdr:colOff>
      <xdr:row>5</xdr:row>
      <xdr:rowOff>104775</xdr:rowOff>
    </xdr:from>
    <xdr:to>
      <xdr:col>7</xdr:col>
      <xdr:colOff>790725</xdr:colOff>
      <xdr:row>6</xdr:row>
      <xdr:rowOff>109125</xdr:rowOff>
    </xdr:to>
    <xdr:sp macro="" textlink="">
      <xdr:nvSpPr>
        <xdr:cNvPr id="14" name="Flèche droite 6"/>
        <xdr:cNvSpPr/>
      </xdr:nvSpPr>
      <xdr:spPr>
        <a:xfrm>
          <a:off x="8201025" y="1238250"/>
          <a:ext cx="324000" cy="27105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8</xdr:col>
      <xdr:colOff>371475</xdr:colOff>
      <xdr:row>1</xdr:row>
      <xdr:rowOff>95250</xdr:rowOff>
    </xdr:from>
    <xdr:to>
      <xdr:col>9</xdr:col>
      <xdr:colOff>238125</xdr:colOff>
      <xdr:row>3</xdr:row>
      <xdr:rowOff>66675</xdr:rowOff>
    </xdr:to>
    <xdr:sp macro="" textlink="">
      <xdr:nvSpPr>
        <xdr:cNvPr id="16" name="Up Arrow 15">
          <a:hlinkClick xmlns:r="http://schemas.openxmlformats.org/officeDocument/2006/relationships" r:id="rId7" tooltip="Back to top"/>
        </xdr:cNvPr>
        <xdr:cNvSpPr/>
      </xdr:nvSpPr>
      <xdr:spPr>
        <a:xfrm>
          <a:off x="9572625" y="3905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228599</xdr:colOff>
      <xdr:row>1</xdr:row>
      <xdr:rowOff>114301</xdr:rowOff>
    </xdr:from>
    <xdr:to>
      <xdr:col>3</xdr:col>
      <xdr:colOff>132449</xdr:colOff>
      <xdr:row>3</xdr:row>
      <xdr:rowOff>57301</xdr:rowOff>
    </xdr:to>
    <xdr:sp macro="" textlink="">
      <xdr:nvSpPr>
        <xdr:cNvPr id="2" name="Rectangle à coins arrondis 2">
          <a:hlinkClick xmlns:r="http://schemas.openxmlformats.org/officeDocument/2006/relationships" r:id="rId1" tooltip="Back to LT"/>
        </xdr:cNvPr>
        <xdr:cNvSpPr>
          <a:spLocks noChangeArrowheads="1"/>
        </xdr:cNvSpPr>
      </xdr:nvSpPr>
      <xdr:spPr bwMode="auto">
        <a:xfrm>
          <a:off x="228599" y="409576"/>
          <a:ext cx="2628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Location &amp; Transportation</a:t>
          </a:r>
        </a:p>
      </xdr:txBody>
    </xdr:sp>
    <xdr:clientData/>
  </xdr:twoCellAnchor>
  <xdr:twoCellAnchor>
    <xdr:from>
      <xdr:col>3</xdr:col>
      <xdr:colOff>571500</xdr:colOff>
      <xdr:row>1</xdr:row>
      <xdr:rowOff>104775</xdr:rowOff>
    </xdr:from>
    <xdr:to>
      <xdr:col>5</xdr:col>
      <xdr:colOff>274050</xdr:colOff>
      <xdr:row>3</xdr:row>
      <xdr:rowOff>47775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29565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485775</xdr:colOff>
      <xdr:row>5</xdr:row>
      <xdr:rowOff>95250</xdr:rowOff>
    </xdr:from>
    <xdr:to>
      <xdr:col>7</xdr:col>
      <xdr:colOff>260850</xdr:colOff>
      <xdr:row>6</xdr:row>
      <xdr:rowOff>99600</xdr:rowOff>
    </xdr:to>
    <xdr:sp macro="" textlink="">
      <xdr:nvSpPr>
        <xdr:cNvPr id="7" name="Rectangle à coins arrondis 2">
          <a:hlinkClick xmlns:r="http://schemas.openxmlformats.org/officeDocument/2006/relationships" r:id="rId3" tooltip="Option A"/>
        </xdr:cNvPr>
        <xdr:cNvSpPr>
          <a:spLocks noChangeArrowheads="1"/>
        </xdr:cNvSpPr>
      </xdr:nvSpPr>
      <xdr:spPr bwMode="auto">
        <a:xfrm>
          <a:off x="6819900" y="1228725"/>
          <a:ext cx="108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409575</xdr:colOff>
      <xdr:row>5</xdr:row>
      <xdr:rowOff>95250</xdr:rowOff>
    </xdr:from>
    <xdr:to>
      <xdr:col>8</xdr:col>
      <xdr:colOff>13200</xdr:colOff>
      <xdr:row>6</xdr:row>
      <xdr:rowOff>99600</xdr:rowOff>
    </xdr:to>
    <xdr:sp macro="" textlink="">
      <xdr:nvSpPr>
        <xdr:cNvPr id="8" name="Rectangle à coins arrondis 2">
          <a:hlinkClick xmlns:r="http://schemas.openxmlformats.org/officeDocument/2006/relationships" r:id="rId4" tooltip="Option B"/>
        </xdr:cNvPr>
        <xdr:cNvSpPr>
          <a:spLocks noChangeArrowheads="1"/>
        </xdr:cNvSpPr>
      </xdr:nvSpPr>
      <xdr:spPr bwMode="auto">
        <a:xfrm>
          <a:off x="8048625" y="1228725"/>
          <a:ext cx="108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5</xdr:col>
      <xdr:colOff>1133475</xdr:colOff>
      <xdr:row>5</xdr:row>
      <xdr:rowOff>104775</xdr:rowOff>
    </xdr:from>
    <xdr:to>
      <xdr:col>6</xdr:col>
      <xdr:colOff>304950</xdr:colOff>
      <xdr:row>6</xdr:row>
      <xdr:rowOff>109125</xdr:rowOff>
    </xdr:to>
    <xdr:sp macro="" textlink="">
      <xdr:nvSpPr>
        <xdr:cNvPr id="9" name="Flèche droite 6"/>
        <xdr:cNvSpPr/>
      </xdr:nvSpPr>
      <xdr:spPr>
        <a:xfrm>
          <a:off x="6315075" y="1238250"/>
          <a:ext cx="324000" cy="27105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9525</xdr:colOff>
      <xdr:row>17</xdr:row>
      <xdr:rowOff>85725</xdr:rowOff>
    </xdr:from>
    <xdr:to>
      <xdr:col>1</xdr:col>
      <xdr:colOff>405525</xdr:colOff>
      <xdr:row>19</xdr:row>
      <xdr:rowOff>100725</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4162425"/>
          <a:ext cx="396000" cy="396000"/>
        </a:xfrm>
        <a:prstGeom prst="rect">
          <a:avLst/>
        </a:prstGeom>
      </xdr:spPr>
    </xdr:pic>
    <xdr:clientData/>
  </xdr:twoCellAnchor>
  <xdr:twoCellAnchor editAs="oneCell">
    <xdr:from>
      <xdr:col>1</xdr:col>
      <xdr:colOff>38100</xdr:colOff>
      <xdr:row>20</xdr:row>
      <xdr:rowOff>76200</xdr:rowOff>
    </xdr:from>
    <xdr:to>
      <xdr:col>1</xdr:col>
      <xdr:colOff>398100</xdr:colOff>
      <xdr:row>22</xdr:row>
      <xdr:rowOff>83775</xdr:rowOff>
    </xdr:to>
    <xdr:pic>
      <xdr:nvPicPr>
        <xdr:cNvPr id="11" name="Picture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4657725"/>
          <a:ext cx="360000" cy="360000"/>
        </a:xfrm>
        <a:prstGeom prst="rect">
          <a:avLst/>
        </a:prstGeom>
      </xdr:spPr>
    </xdr:pic>
    <xdr:clientData/>
  </xdr:twoCellAnchor>
  <xdr:oneCellAnchor>
    <xdr:from>
      <xdr:col>1</xdr:col>
      <xdr:colOff>9525</xdr:colOff>
      <xdr:row>38</xdr:row>
      <xdr:rowOff>85725</xdr:rowOff>
    </xdr:from>
    <xdr:ext cx="396000" cy="396000"/>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4162425"/>
          <a:ext cx="396000" cy="396000"/>
        </a:xfrm>
        <a:prstGeom prst="rect">
          <a:avLst/>
        </a:prstGeom>
      </xdr:spPr>
    </xdr:pic>
    <xdr:clientData/>
  </xdr:oneCellAnchor>
  <xdr:oneCellAnchor>
    <xdr:from>
      <xdr:col>1</xdr:col>
      <xdr:colOff>38100</xdr:colOff>
      <xdr:row>44</xdr:row>
      <xdr:rowOff>152400</xdr:rowOff>
    </xdr:from>
    <xdr:ext cx="360000" cy="360000"/>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0572750"/>
          <a:ext cx="360000" cy="360000"/>
        </a:xfrm>
        <a:prstGeom prst="rect">
          <a:avLst/>
        </a:prstGeom>
      </xdr:spPr>
    </xdr:pic>
    <xdr:clientData/>
  </xdr:oneCellAnchor>
  <xdr:oneCellAnchor>
    <xdr:from>
      <xdr:col>1</xdr:col>
      <xdr:colOff>57150</xdr:colOff>
      <xdr:row>41</xdr:row>
      <xdr:rowOff>57150</xdr:rowOff>
    </xdr:from>
    <xdr:ext cx="468000" cy="468000"/>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9134475"/>
          <a:ext cx="468000" cy="468000"/>
        </a:xfrm>
        <a:prstGeom prst="rect">
          <a:avLst/>
        </a:prstGeom>
      </xdr:spPr>
    </xdr:pic>
    <xdr:clientData/>
  </xdr:oneCellAnchor>
  <xdr:twoCellAnchor>
    <xdr:from>
      <xdr:col>8</xdr:col>
      <xdr:colOff>742950</xdr:colOff>
      <xdr:row>1</xdr:row>
      <xdr:rowOff>95250</xdr:rowOff>
    </xdr:from>
    <xdr:to>
      <xdr:col>9</xdr:col>
      <xdr:colOff>161925</xdr:colOff>
      <xdr:row>3</xdr:row>
      <xdr:rowOff>66675</xdr:rowOff>
    </xdr:to>
    <xdr:sp macro="" textlink="">
      <xdr:nvSpPr>
        <xdr:cNvPr id="14" name="Up Arrow 13">
          <a:hlinkClick xmlns:r="http://schemas.openxmlformats.org/officeDocument/2006/relationships" r:id="rId7" tooltip="Back to top"/>
        </xdr:cNvPr>
        <xdr:cNvSpPr/>
      </xdr:nvSpPr>
      <xdr:spPr>
        <a:xfrm>
          <a:off x="9858375" y="3905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228599</xdr:colOff>
      <xdr:row>1</xdr:row>
      <xdr:rowOff>114301</xdr:rowOff>
    </xdr:from>
    <xdr:to>
      <xdr:col>2</xdr:col>
      <xdr:colOff>312974</xdr:colOff>
      <xdr:row>3</xdr:row>
      <xdr:rowOff>57301</xdr:rowOff>
    </xdr:to>
    <xdr:sp macro="" textlink="">
      <xdr:nvSpPr>
        <xdr:cNvPr id="2" name="Rectangle à coins arrondis 2">
          <a:hlinkClick xmlns:r="http://schemas.openxmlformats.org/officeDocument/2006/relationships" r:id="rId1" tooltip="Back to LT"/>
        </xdr:cNvPr>
        <xdr:cNvSpPr>
          <a:spLocks noChangeArrowheads="1"/>
        </xdr:cNvSpPr>
      </xdr:nvSpPr>
      <xdr:spPr bwMode="auto">
        <a:xfrm>
          <a:off x="228599" y="409576"/>
          <a:ext cx="1656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L&amp;T</a:t>
          </a:r>
        </a:p>
      </xdr:txBody>
    </xdr:sp>
    <xdr:clientData/>
  </xdr:twoCellAnchor>
  <xdr:twoCellAnchor>
    <xdr:from>
      <xdr:col>2</xdr:col>
      <xdr:colOff>619125</xdr:colOff>
      <xdr:row>1</xdr:row>
      <xdr:rowOff>114300</xdr:rowOff>
    </xdr:from>
    <xdr:to>
      <xdr:col>3</xdr:col>
      <xdr:colOff>943725</xdr:colOff>
      <xdr:row>3</xdr:row>
      <xdr:rowOff>57300</xdr:rowOff>
    </xdr:to>
    <xdr:sp macro="" textlink="">
      <xdr:nvSpPr>
        <xdr:cNvPr id="9" name="Rectangle à coins arrondis 2">
          <a:hlinkClick xmlns:r="http://schemas.openxmlformats.org/officeDocument/2006/relationships" r:id="rId2" tooltip="Scorecard"/>
        </xdr:cNvPr>
        <xdr:cNvSpPr>
          <a:spLocks noChangeArrowheads="1"/>
        </xdr:cNvSpPr>
      </xdr:nvSpPr>
      <xdr:spPr bwMode="auto">
        <a:xfrm>
          <a:off x="2190750" y="409575"/>
          <a:ext cx="162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1152525</xdr:colOff>
      <xdr:row>1</xdr:row>
      <xdr:rowOff>133350</xdr:rowOff>
    </xdr:from>
    <xdr:to>
      <xdr:col>5</xdr:col>
      <xdr:colOff>823800</xdr:colOff>
      <xdr:row>3</xdr:row>
      <xdr:rowOff>40350</xdr:rowOff>
    </xdr:to>
    <xdr:sp macro="" textlink="">
      <xdr:nvSpPr>
        <xdr:cNvPr id="4" name="Rectangle à coins arrondis 2">
          <a:hlinkClick xmlns:r="http://schemas.openxmlformats.org/officeDocument/2006/relationships" r:id="rId3" tooltip="Strategy A"/>
        </xdr:cNvPr>
        <xdr:cNvSpPr>
          <a:spLocks noChangeArrowheads="1"/>
        </xdr:cNvSpPr>
      </xdr:nvSpPr>
      <xdr:spPr bwMode="auto">
        <a:xfrm>
          <a:off x="5286375" y="428625"/>
          <a:ext cx="90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914400</xdr:colOff>
      <xdr:row>1</xdr:row>
      <xdr:rowOff>133350</xdr:rowOff>
    </xdr:from>
    <xdr:to>
      <xdr:col>6</xdr:col>
      <xdr:colOff>661875</xdr:colOff>
      <xdr:row>3</xdr:row>
      <xdr:rowOff>40350</xdr:rowOff>
    </xdr:to>
    <xdr:sp macro="" textlink="">
      <xdr:nvSpPr>
        <xdr:cNvPr id="5" name="Rectangle à coins arrondis 2">
          <a:hlinkClick xmlns:r="http://schemas.openxmlformats.org/officeDocument/2006/relationships" r:id="rId4" tooltip="Strategy B"/>
        </xdr:cNvPr>
        <xdr:cNvSpPr>
          <a:spLocks noChangeArrowheads="1"/>
        </xdr:cNvSpPr>
      </xdr:nvSpPr>
      <xdr:spPr bwMode="auto">
        <a:xfrm>
          <a:off x="6276975" y="428625"/>
          <a:ext cx="90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742949</xdr:colOff>
      <xdr:row>1</xdr:row>
      <xdr:rowOff>133350</xdr:rowOff>
    </xdr:from>
    <xdr:to>
      <xdr:col>7</xdr:col>
      <xdr:colOff>480899</xdr:colOff>
      <xdr:row>3</xdr:row>
      <xdr:rowOff>40350</xdr:rowOff>
    </xdr:to>
    <xdr:sp macro="" textlink="">
      <xdr:nvSpPr>
        <xdr:cNvPr id="6" name="Rectangle à coins arrondis 2">
          <a:hlinkClick xmlns:r="http://schemas.openxmlformats.org/officeDocument/2006/relationships" r:id="rId5" tooltip="Strategy C"/>
        </xdr:cNvPr>
        <xdr:cNvSpPr>
          <a:spLocks noChangeArrowheads="1"/>
        </xdr:cNvSpPr>
      </xdr:nvSpPr>
      <xdr:spPr bwMode="auto">
        <a:xfrm>
          <a:off x="7077074" y="428625"/>
          <a:ext cx="90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7</xdr:col>
      <xdr:colOff>561974</xdr:colOff>
      <xdr:row>1</xdr:row>
      <xdr:rowOff>133350</xdr:rowOff>
    </xdr:from>
    <xdr:to>
      <xdr:col>8</xdr:col>
      <xdr:colOff>14174</xdr:colOff>
      <xdr:row>3</xdr:row>
      <xdr:rowOff>40350</xdr:rowOff>
    </xdr:to>
    <xdr:sp macro="" textlink="">
      <xdr:nvSpPr>
        <xdr:cNvPr id="7" name="Rectangle à coins arrondis 2">
          <a:hlinkClick xmlns:r="http://schemas.openxmlformats.org/officeDocument/2006/relationships" r:id="rId6" tooltip="Strategy D"/>
        </xdr:cNvPr>
        <xdr:cNvSpPr>
          <a:spLocks noChangeArrowheads="1"/>
        </xdr:cNvSpPr>
      </xdr:nvSpPr>
      <xdr:spPr bwMode="auto">
        <a:xfrm>
          <a:off x="8239124" y="428625"/>
          <a:ext cx="90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8</xdr:col>
      <xdr:colOff>76199</xdr:colOff>
      <xdr:row>1</xdr:row>
      <xdr:rowOff>133350</xdr:rowOff>
    </xdr:from>
    <xdr:to>
      <xdr:col>8</xdr:col>
      <xdr:colOff>976199</xdr:colOff>
      <xdr:row>3</xdr:row>
      <xdr:rowOff>40350</xdr:rowOff>
    </xdr:to>
    <xdr:sp macro="" textlink="">
      <xdr:nvSpPr>
        <xdr:cNvPr id="8" name="Rectangle à coins arrondis 2">
          <a:hlinkClick xmlns:r="http://schemas.openxmlformats.org/officeDocument/2006/relationships" r:id="rId7" tooltip="Strategy E"/>
        </xdr:cNvPr>
        <xdr:cNvSpPr>
          <a:spLocks noChangeArrowheads="1"/>
        </xdr:cNvSpPr>
      </xdr:nvSpPr>
      <xdr:spPr bwMode="auto">
        <a:xfrm>
          <a:off x="9201149" y="428625"/>
          <a:ext cx="90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xdr:from>
      <xdr:col>4</xdr:col>
      <xdr:colOff>104775</xdr:colOff>
      <xdr:row>1</xdr:row>
      <xdr:rowOff>133350</xdr:rowOff>
    </xdr:from>
    <xdr:to>
      <xdr:col>4</xdr:col>
      <xdr:colOff>1076775</xdr:colOff>
      <xdr:row>3</xdr:row>
      <xdr:rowOff>40350</xdr:rowOff>
    </xdr:to>
    <xdr:sp macro="" textlink="">
      <xdr:nvSpPr>
        <xdr:cNvPr id="10" name="Rectangle à coins arrondis 2">
          <a:hlinkClick xmlns:r="http://schemas.openxmlformats.org/officeDocument/2006/relationships" r:id="rId8" tooltip="Prerequisite"/>
        </xdr:cNvPr>
        <xdr:cNvSpPr>
          <a:spLocks noChangeArrowheads="1"/>
        </xdr:cNvSpPr>
      </xdr:nvSpPr>
      <xdr:spPr bwMode="auto">
        <a:xfrm>
          <a:off x="4238625"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Prerequisite</a:t>
          </a:r>
        </a:p>
      </xdr:txBody>
    </xdr:sp>
    <xdr:clientData/>
  </xdr:twoCellAnchor>
  <xdr:oneCellAnchor>
    <xdr:from>
      <xdr:col>1</xdr:col>
      <xdr:colOff>0</xdr:colOff>
      <xdr:row>24</xdr:row>
      <xdr:rowOff>104775</xdr:rowOff>
    </xdr:from>
    <xdr:ext cx="396000" cy="396000"/>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6677025"/>
          <a:ext cx="396000" cy="396000"/>
        </a:xfrm>
        <a:prstGeom prst="rect">
          <a:avLst/>
        </a:prstGeom>
      </xdr:spPr>
    </xdr:pic>
    <xdr:clientData/>
  </xdr:oneCellAnchor>
  <xdr:oneCellAnchor>
    <xdr:from>
      <xdr:col>1</xdr:col>
      <xdr:colOff>0</xdr:colOff>
      <xdr:row>49</xdr:row>
      <xdr:rowOff>114300</xdr:rowOff>
    </xdr:from>
    <xdr:ext cx="396000" cy="396000"/>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11601450"/>
          <a:ext cx="396000" cy="396000"/>
        </a:xfrm>
        <a:prstGeom prst="rect">
          <a:avLst/>
        </a:prstGeom>
      </xdr:spPr>
    </xdr:pic>
    <xdr:clientData/>
  </xdr:oneCellAnchor>
  <xdr:oneCellAnchor>
    <xdr:from>
      <xdr:col>1</xdr:col>
      <xdr:colOff>0</xdr:colOff>
      <xdr:row>74</xdr:row>
      <xdr:rowOff>104775</xdr:rowOff>
    </xdr:from>
    <xdr:ext cx="396000" cy="396000"/>
    <xdr:pic>
      <xdr:nvPicPr>
        <xdr:cNvPr id="13" name="Picture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16249650"/>
          <a:ext cx="396000" cy="396000"/>
        </a:xfrm>
        <a:prstGeom prst="rect">
          <a:avLst/>
        </a:prstGeom>
      </xdr:spPr>
    </xdr:pic>
    <xdr:clientData/>
  </xdr:oneCellAnchor>
  <xdr:oneCellAnchor>
    <xdr:from>
      <xdr:col>1</xdr:col>
      <xdr:colOff>0</xdr:colOff>
      <xdr:row>103</xdr:row>
      <xdr:rowOff>104775</xdr:rowOff>
    </xdr:from>
    <xdr:ext cx="396000" cy="396000"/>
    <xdr:pic>
      <xdr:nvPicPr>
        <xdr:cNvPr id="14" name="Pictur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21612225"/>
          <a:ext cx="396000" cy="396000"/>
        </a:xfrm>
        <a:prstGeom prst="rect">
          <a:avLst/>
        </a:prstGeom>
      </xdr:spPr>
    </xdr:pic>
    <xdr:clientData/>
  </xdr:oneCellAnchor>
  <xdr:oneCellAnchor>
    <xdr:from>
      <xdr:col>1</xdr:col>
      <xdr:colOff>28575</xdr:colOff>
      <xdr:row>135</xdr:row>
      <xdr:rowOff>123825</xdr:rowOff>
    </xdr:from>
    <xdr:ext cx="360000" cy="360000"/>
    <xdr:pic>
      <xdr:nvPicPr>
        <xdr:cNvPr id="18"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225" y="31556325"/>
          <a:ext cx="360000" cy="360000"/>
        </a:xfrm>
        <a:prstGeom prst="rect">
          <a:avLst/>
        </a:prstGeom>
      </xdr:spPr>
    </xdr:pic>
    <xdr:clientData/>
  </xdr:oneCellAnchor>
  <xdr:oneCellAnchor>
    <xdr:from>
      <xdr:col>1</xdr:col>
      <xdr:colOff>19050</xdr:colOff>
      <xdr:row>161</xdr:row>
      <xdr:rowOff>114300</xdr:rowOff>
    </xdr:from>
    <xdr:ext cx="360000" cy="360000"/>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36604575"/>
          <a:ext cx="360000" cy="360000"/>
        </a:xfrm>
        <a:prstGeom prst="rect">
          <a:avLst/>
        </a:prstGeom>
      </xdr:spPr>
    </xdr:pic>
    <xdr:clientData/>
  </xdr:oneCellAnchor>
  <xdr:oneCellAnchor>
    <xdr:from>
      <xdr:col>1</xdr:col>
      <xdr:colOff>38100</xdr:colOff>
      <xdr:row>26</xdr:row>
      <xdr:rowOff>161925</xdr:rowOff>
    </xdr:from>
    <xdr:ext cx="360000" cy="360000"/>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7115175"/>
          <a:ext cx="360000" cy="360000"/>
        </a:xfrm>
        <a:prstGeom prst="rect">
          <a:avLst/>
        </a:prstGeom>
      </xdr:spPr>
    </xdr:pic>
    <xdr:clientData/>
  </xdr:oneCellAnchor>
  <xdr:oneCellAnchor>
    <xdr:from>
      <xdr:col>1</xdr:col>
      <xdr:colOff>28575</xdr:colOff>
      <xdr:row>51</xdr:row>
      <xdr:rowOff>180975</xdr:rowOff>
    </xdr:from>
    <xdr:ext cx="360000" cy="360000"/>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12439650"/>
          <a:ext cx="360000" cy="360000"/>
        </a:xfrm>
        <a:prstGeom prst="rect">
          <a:avLst/>
        </a:prstGeom>
      </xdr:spPr>
    </xdr:pic>
    <xdr:clientData/>
  </xdr:oneCellAnchor>
  <xdr:oneCellAnchor>
    <xdr:from>
      <xdr:col>1</xdr:col>
      <xdr:colOff>38100</xdr:colOff>
      <xdr:row>79</xdr:row>
      <xdr:rowOff>123825</xdr:rowOff>
    </xdr:from>
    <xdr:ext cx="360000" cy="360000"/>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8802350"/>
          <a:ext cx="360000" cy="360000"/>
        </a:xfrm>
        <a:prstGeom prst="rect">
          <a:avLst/>
        </a:prstGeom>
      </xdr:spPr>
    </xdr:pic>
    <xdr:clientData/>
  </xdr:oneCellAnchor>
  <xdr:twoCellAnchor editAs="oneCell">
    <xdr:from>
      <xdr:col>0</xdr:col>
      <xdr:colOff>238125</xdr:colOff>
      <xdr:row>106</xdr:row>
      <xdr:rowOff>85725</xdr:rowOff>
    </xdr:from>
    <xdr:to>
      <xdr:col>1</xdr:col>
      <xdr:colOff>422475</xdr:colOff>
      <xdr:row>108</xdr:row>
      <xdr:rowOff>136725</xdr:rowOff>
    </xdr:to>
    <xdr:pic>
      <xdr:nvPicPr>
        <xdr:cNvPr id="3" name="Picture 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5" y="24869775"/>
          <a:ext cx="432000" cy="432000"/>
        </a:xfrm>
        <a:prstGeom prst="rect">
          <a:avLst/>
        </a:prstGeom>
      </xdr:spPr>
    </xdr:pic>
    <xdr:clientData/>
  </xdr:twoCellAnchor>
  <xdr:oneCellAnchor>
    <xdr:from>
      <xdr:col>1</xdr:col>
      <xdr:colOff>28575</xdr:colOff>
      <xdr:row>137</xdr:row>
      <xdr:rowOff>152400</xdr:rowOff>
    </xdr:from>
    <xdr:ext cx="360000" cy="360000"/>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32070675"/>
          <a:ext cx="360000" cy="360000"/>
        </a:xfrm>
        <a:prstGeom prst="rect">
          <a:avLst/>
        </a:prstGeom>
      </xdr:spPr>
    </xdr:pic>
    <xdr:clientData/>
  </xdr:oneCellAnchor>
  <xdr:oneCellAnchor>
    <xdr:from>
      <xdr:col>1</xdr:col>
      <xdr:colOff>28575</xdr:colOff>
      <xdr:row>166</xdr:row>
      <xdr:rowOff>142875</xdr:rowOff>
    </xdr:from>
    <xdr:ext cx="360000" cy="360000"/>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37452300"/>
          <a:ext cx="360000" cy="360000"/>
        </a:xfrm>
        <a:prstGeom prst="rect">
          <a:avLst/>
        </a:prstGeom>
      </xdr:spPr>
    </xdr:pic>
    <xdr:clientData/>
  </xdr:oneCellAnchor>
  <xdr:twoCellAnchor editAs="oneCell">
    <xdr:from>
      <xdr:col>1</xdr:col>
      <xdr:colOff>47625</xdr:colOff>
      <xdr:row>164</xdr:row>
      <xdr:rowOff>57150</xdr:rowOff>
    </xdr:from>
    <xdr:to>
      <xdr:col>1</xdr:col>
      <xdr:colOff>479625</xdr:colOff>
      <xdr:row>165</xdr:row>
      <xdr:rowOff>222450</xdr:rowOff>
    </xdr:to>
    <xdr:pic>
      <xdr:nvPicPr>
        <xdr:cNvPr id="15" name="Picture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5275" y="37147500"/>
          <a:ext cx="432000" cy="432000"/>
        </a:xfrm>
        <a:prstGeom prst="rect">
          <a:avLst/>
        </a:prstGeom>
      </xdr:spPr>
    </xdr:pic>
    <xdr:clientData/>
  </xdr:twoCellAnchor>
  <xdr:twoCellAnchor>
    <xdr:from>
      <xdr:col>9</xdr:col>
      <xdr:colOff>123825</xdr:colOff>
      <xdr:row>1</xdr:row>
      <xdr:rowOff>85725</xdr:rowOff>
    </xdr:from>
    <xdr:to>
      <xdr:col>9</xdr:col>
      <xdr:colOff>571500</xdr:colOff>
      <xdr:row>3</xdr:row>
      <xdr:rowOff>57150</xdr:rowOff>
    </xdr:to>
    <xdr:sp macro="" textlink="">
      <xdr:nvSpPr>
        <xdr:cNvPr id="24" name="Up Arrow 23">
          <a:hlinkClick xmlns:r="http://schemas.openxmlformats.org/officeDocument/2006/relationships" r:id="rId13" tooltip="Back to top"/>
        </xdr:cNvPr>
        <xdr:cNvSpPr/>
      </xdr:nvSpPr>
      <xdr:spPr>
        <a:xfrm>
          <a:off x="10277475" y="381000"/>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9525</xdr:colOff>
      <xdr:row>77</xdr:row>
      <xdr:rowOff>0</xdr:rowOff>
    </xdr:from>
    <xdr:to>
      <xdr:col>1</xdr:col>
      <xdr:colOff>403990</xdr:colOff>
      <xdr:row>79</xdr:row>
      <xdr:rowOff>15000</xdr:rowOff>
    </xdr:to>
    <xdr:pic>
      <xdr:nvPicPr>
        <xdr:cNvPr id="16" name="Picture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7175" y="18345150"/>
          <a:ext cx="394465" cy="396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238124</xdr:colOff>
      <xdr:row>1</xdr:row>
      <xdr:rowOff>114301</xdr:rowOff>
    </xdr:from>
    <xdr:to>
      <xdr:col>3</xdr:col>
      <xdr:colOff>141974</xdr:colOff>
      <xdr:row>3</xdr:row>
      <xdr:rowOff>57301</xdr:rowOff>
    </xdr:to>
    <xdr:sp macro="" textlink="">
      <xdr:nvSpPr>
        <xdr:cNvPr id="2" name="Rectangle à coins arrondis 2">
          <a:hlinkClick xmlns:r="http://schemas.openxmlformats.org/officeDocument/2006/relationships" r:id="rId1" tooltip="Back to LT"/>
        </xdr:cNvPr>
        <xdr:cNvSpPr>
          <a:spLocks noChangeArrowheads="1"/>
        </xdr:cNvSpPr>
      </xdr:nvSpPr>
      <xdr:spPr bwMode="auto">
        <a:xfrm>
          <a:off x="238124" y="409576"/>
          <a:ext cx="2628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Location &amp; Transportation</a:t>
          </a:r>
        </a:p>
      </xdr:txBody>
    </xdr:sp>
    <xdr:clientData/>
  </xdr:twoCellAnchor>
  <xdr:twoCellAnchor>
    <xdr:from>
      <xdr:col>3</xdr:col>
      <xdr:colOff>628650</xdr:colOff>
      <xdr:row>1</xdr:row>
      <xdr:rowOff>104775</xdr:rowOff>
    </xdr:from>
    <xdr:to>
      <xdr:col>5</xdr:col>
      <xdr:colOff>331200</xdr:colOff>
      <xdr:row>3</xdr:row>
      <xdr:rowOff>47775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35280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85725</xdr:rowOff>
    </xdr:from>
    <xdr:to>
      <xdr:col>1</xdr:col>
      <xdr:colOff>405525</xdr:colOff>
      <xdr:row>16</xdr:row>
      <xdr:rowOff>100725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3200400"/>
          <a:ext cx="396000" cy="396000"/>
        </a:xfrm>
        <a:prstGeom prst="rect">
          <a:avLst/>
        </a:prstGeom>
      </xdr:spPr>
    </xdr:pic>
    <xdr:clientData/>
  </xdr:twoCellAnchor>
  <xdr:twoCellAnchor editAs="oneCell">
    <xdr:from>
      <xdr:col>1</xdr:col>
      <xdr:colOff>28575</xdr:colOff>
      <xdr:row>17</xdr:row>
      <xdr:rowOff>66675</xdr:rowOff>
    </xdr:from>
    <xdr:to>
      <xdr:col>1</xdr:col>
      <xdr:colOff>424575</xdr:colOff>
      <xdr:row>19</xdr:row>
      <xdr:rowOff>100725</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752850"/>
          <a:ext cx="396000" cy="396000"/>
        </a:xfrm>
        <a:prstGeom prst="rect">
          <a:avLst/>
        </a:prstGeom>
      </xdr:spPr>
    </xdr:pic>
    <xdr:clientData/>
  </xdr:twoCellAnchor>
  <xdr:twoCellAnchor>
    <xdr:from>
      <xdr:col>8</xdr:col>
      <xdr:colOff>514350</xdr:colOff>
      <xdr:row>1</xdr:row>
      <xdr:rowOff>76200</xdr:rowOff>
    </xdr:from>
    <xdr:to>
      <xdr:col>9</xdr:col>
      <xdr:colOff>276225</xdr:colOff>
      <xdr:row>3</xdr:row>
      <xdr:rowOff>47625</xdr:rowOff>
    </xdr:to>
    <xdr:sp macro="" textlink="">
      <xdr:nvSpPr>
        <xdr:cNvPr id="7" name="Up Arrow 6">
          <a:hlinkClick xmlns:r="http://schemas.openxmlformats.org/officeDocument/2006/relationships" r:id="rId5" tooltip="Back to top"/>
        </xdr:cNvPr>
        <xdr:cNvSpPr/>
      </xdr:nvSpPr>
      <xdr:spPr>
        <a:xfrm>
          <a:off x="9582150" y="37147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116417</xdr:colOff>
      <xdr:row>0</xdr:row>
      <xdr:rowOff>52916</xdr:rowOff>
    </xdr:from>
    <xdr:to>
      <xdr:col>11</xdr:col>
      <xdr:colOff>114817</xdr:colOff>
      <xdr:row>3</xdr:row>
      <xdr:rowOff>7949</xdr:rowOff>
    </xdr:to>
    <xdr:pic>
      <xdr:nvPicPr>
        <xdr:cNvPr id="4" name="Image 7" descr="management.png"/>
        <xdr:cNvPicPr>
          <a:picLocks noChangeAspect="1"/>
        </xdr:cNvPicPr>
      </xdr:nvPicPr>
      <xdr:blipFill>
        <a:blip xmlns:r="http://schemas.openxmlformats.org/officeDocument/2006/relationships" r:embed="rId1" cstate="print"/>
        <a:srcRect/>
        <a:stretch>
          <a:fillRect/>
        </a:stretch>
      </xdr:blipFill>
      <xdr:spPr bwMode="auto">
        <a:xfrm>
          <a:off x="10572750" y="52916"/>
          <a:ext cx="887400" cy="907533"/>
        </a:xfrm>
        <a:prstGeom prst="rect">
          <a:avLst/>
        </a:prstGeom>
        <a:noFill/>
        <a:ln w="9525">
          <a:noFill/>
          <a:miter lim="800000"/>
          <a:headEnd/>
          <a:tailEnd/>
        </a:ln>
      </xdr:spPr>
    </xdr:pic>
    <xdr:clientData/>
  </xdr:twoCellAnchor>
  <xdr:twoCellAnchor>
    <xdr:from>
      <xdr:col>1</xdr:col>
      <xdr:colOff>42333</xdr:colOff>
      <xdr:row>11</xdr:row>
      <xdr:rowOff>31750</xdr:rowOff>
    </xdr:from>
    <xdr:to>
      <xdr:col>1</xdr:col>
      <xdr:colOff>2022333</xdr:colOff>
      <xdr:row>13</xdr:row>
      <xdr:rowOff>46750</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423333" y="281516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xdr:colOff>
      <xdr:row>14</xdr:row>
      <xdr:rowOff>23812</xdr:rowOff>
    </xdr:from>
    <xdr:ext cx="65" cy="172227"/>
    <xdr:sp macro="" textlink="">
      <xdr:nvSpPr>
        <xdr:cNvPr id="2" name="TextBox 1"/>
        <xdr:cNvSpPr txBox="1"/>
      </xdr:nvSpPr>
      <xdr:spPr>
        <a:xfrm>
          <a:off x="8105775" y="3148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12</xdr:col>
      <xdr:colOff>609975</xdr:colOff>
      <xdr:row>1</xdr:row>
      <xdr:rowOff>47626</xdr:rowOff>
    </xdr:from>
    <xdr:to>
      <xdr:col>14</xdr:col>
      <xdr:colOff>276225</xdr:colOff>
      <xdr:row>2</xdr:row>
      <xdr:rowOff>115501</xdr:rowOff>
    </xdr:to>
    <xdr:sp macro="" textlink="">
      <xdr:nvSpPr>
        <xdr:cNvPr id="17" name="Rectangle à coins arrondis 2">
          <a:hlinkClick xmlns:r="http://schemas.openxmlformats.org/officeDocument/2006/relationships" r:id="rId1" tooltip="Scorecard"/>
        </xdr:cNvPr>
        <xdr:cNvSpPr>
          <a:spLocks noChangeArrowheads="1"/>
        </xdr:cNvSpPr>
      </xdr:nvSpPr>
      <xdr:spPr bwMode="auto">
        <a:xfrm>
          <a:off x="9715875" y="428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Scorecard</a:t>
          </a:r>
        </a:p>
      </xdr:txBody>
    </xdr:sp>
    <xdr:clientData/>
  </xdr:twoCellAnchor>
  <xdr:twoCellAnchor>
    <xdr:from>
      <xdr:col>10</xdr:col>
      <xdr:colOff>790575</xdr:colOff>
      <xdr:row>1</xdr:row>
      <xdr:rowOff>47625</xdr:rowOff>
    </xdr:from>
    <xdr:to>
      <xdr:col>12</xdr:col>
      <xdr:colOff>523500</xdr:colOff>
      <xdr:row>2</xdr:row>
      <xdr:rowOff>115500</xdr:rowOff>
    </xdr:to>
    <xdr:sp macro="" textlink="">
      <xdr:nvSpPr>
        <xdr:cNvPr id="18" name="Rectangle à coins arrondis 2">
          <a:hlinkClick xmlns:r="http://schemas.openxmlformats.org/officeDocument/2006/relationships" r:id="rId2" tooltip="Instructions"/>
        </xdr:cNvPr>
        <xdr:cNvSpPr>
          <a:spLocks noChangeArrowheads="1"/>
        </xdr:cNvSpPr>
      </xdr:nvSpPr>
      <xdr:spPr bwMode="auto">
        <a:xfrm>
          <a:off x="8153400" y="42862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FFA500"/>
            </a:solidFill>
            <a:latin typeface="Arial" panose="020B0604020202020204" pitchFamily="34" charset="0"/>
            <a:cs typeface="Arial" panose="020B0604020202020204" pitchFamily="34" charset="0"/>
          </a:endParaRPr>
        </a:p>
      </xdr:txBody>
    </xdr:sp>
    <xdr:clientData/>
  </xdr:twoCellAnchor>
  <xdr:twoCellAnchor>
    <xdr:from>
      <xdr:col>9</xdr:col>
      <xdr:colOff>123825</xdr:colOff>
      <xdr:row>2</xdr:row>
      <xdr:rowOff>180976</xdr:rowOff>
    </xdr:from>
    <xdr:to>
      <xdr:col>10</xdr:col>
      <xdr:colOff>704475</xdr:colOff>
      <xdr:row>4</xdr:row>
      <xdr:rowOff>10726</xdr:rowOff>
    </xdr:to>
    <xdr:sp macro="" textlink="">
      <xdr:nvSpPr>
        <xdr:cNvPr id="19" name="Rectangle à coins arrondis 2">
          <a:hlinkClick xmlns:r="http://schemas.openxmlformats.org/officeDocument/2006/relationships" r:id="rId3" tooltip="Project Information"/>
        </xdr:cNvPr>
        <xdr:cNvSpPr>
          <a:spLocks noChangeArrowheads="1"/>
        </xdr:cNvSpPr>
      </xdr:nvSpPr>
      <xdr:spPr bwMode="auto">
        <a:xfrm>
          <a:off x="6591300"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Project Information</a:t>
          </a:r>
        </a:p>
      </xdr:txBody>
    </xdr:sp>
    <xdr:clientData/>
  </xdr:twoCellAnchor>
  <xdr:twoCellAnchor>
    <xdr:from>
      <xdr:col>10</xdr:col>
      <xdr:colOff>800475</xdr:colOff>
      <xdr:row>2</xdr:row>
      <xdr:rowOff>190501</xdr:rowOff>
    </xdr:from>
    <xdr:to>
      <xdr:col>12</xdr:col>
      <xdr:colOff>533400</xdr:colOff>
      <xdr:row>4</xdr:row>
      <xdr:rowOff>20251</xdr:rowOff>
    </xdr:to>
    <xdr:sp macro="" textlink="">
      <xdr:nvSpPr>
        <xdr:cNvPr id="20" name="Rectangle à coins arrondis 2">
          <a:hlinkClick xmlns:r="http://schemas.openxmlformats.org/officeDocument/2006/relationships" r:id="rId4" tooltip="Graphical Results"/>
        </xdr:cNvPr>
        <xdr:cNvSpPr>
          <a:spLocks noChangeArrowheads="1"/>
        </xdr:cNvSpPr>
      </xdr:nvSpPr>
      <xdr:spPr bwMode="auto">
        <a:xfrm>
          <a:off x="8163300" y="809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Graphical Results </a:t>
          </a:r>
        </a:p>
      </xdr:txBody>
    </xdr:sp>
    <xdr:clientData/>
  </xdr:twoCellAnchor>
  <xdr:twoCellAnchor>
    <xdr:from>
      <xdr:col>12</xdr:col>
      <xdr:colOff>619125</xdr:colOff>
      <xdr:row>2</xdr:row>
      <xdr:rowOff>190501</xdr:rowOff>
    </xdr:from>
    <xdr:to>
      <xdr:col>14</xdr:col>
      <xdr:colOff>285375</xdr:colOff>
      <xdr:row>4</xdr:row>
      <xdr:rowOff>20251</xdr:rowOff>
    </xdr:to>
    <xdr:sp macro="" textlink="">
      <xdr:nvSpPr>
        <xdr:cNvPr id="21" name="Rectangle à coins arrondis 2">
          <a:hlinkClick xmlns:r="http://schemas.openxmlformats.org/officeDocument/2006/relationships" r:id="rId5" tooltip="Glossary"/>
        </xdr:cNvPr>
        <xdr:cNvSpPr>
          <a:spLocks noChangeArrowheads="1"/>
        </xdr:cNvSpPr>
      </xdr:nvSpPr>
      <xdr:spPr bwMode="auto">
        <a:xfrm>
          <a:off x="9725025" y="809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Glossary</a:t>
          </a:r>
        </a:p>
      </xdr:txBody>
    </xdr:sp>
    <xdr:clientData/>
  </xdr:twoCellAnchor>
  <xdr:twoCellAnchor editAs="oneCell">
    <xdr:from>
      <xdr:col>1</xdr:col>
      <xdr:colOff>85725</xdr:colOff>
      <xdr:row>25</xdr:row>
      <xdr:rowOff>66675</xdr:rowOff>
    </xdr:from>
    <xdr:to>
      <xdr:col>1</xdr:col>
      <xdr:colOff>625725</xdr:colOff>
      <xdr:row>27</xdr:row>
      <xdr:rowOff>149475</xdr:rowOff>
    </xdr:to>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5381625"/>
          <a:ext cx="540000" cy="540000"/>
        </a:xfrm>
        <a:prstGeom prst="rect">
          <a:avLst/>
        </a:prstGeom>
      </xdr:spPr>
    </xdr:pic>
    <xdr:clientData/>
  </xdr:twoCellAnchor>
  <xdr:twoCellAnchor editAs="oneCell">
    <xdr:from>
      <xdr:col>1</xdr:col>
      <xdr:colOff>95250</xdr:colOff>
      <xdr:row>37</xdr:row>
      <xdr:rowOff>38100</xdr:rowOff>
    </xdr:from>
    <xdr:to>
      <xdr:col>1</xdr:col>
      <xdr:colOff>527250</xdr:colOff>
      <xdr:row>38</xdr:row>
      <xdr:rowOff>222450</xdr:rowOff>
    </xdr:to>
    <xdr:pic>
      <xdr:nvPicPr>
        <xdr:cNvPr id="22" name="Picture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050" y="9144000"/>
          <a:ext cx="432000" cy="432000"/>
        </a:xfrm>
        <a:prstGeom prst="rect">
          <a:avLst/>
        </a:prstGeom>
      </xdr:spPr>
    </xdr:pic>
    <xdr:clientData/>
  </xdr:twoCellAnchor>
  <xdr:twoCellAnchor>
    <xdr:from>
      <xdr:col>9</xdr:col>
      <xdr:colOff>123825</xdr:colOff>
      <xdr:row>1</xdr:row>
      <xdr:rowOff>47625</xdr:rowOff>
    </xdr:from>
    <xdr:to>
      <xdr:col>10</xdr:col>
      <xdr:colOff>704475</xdr:colOff>
      <xdr:row>2</xdr:row>
      <xdr:rowOff>115500</xdr:rowOff>
    </xdr:to>
    <xdr:sp macro="" textlink="">
      <xdr:nvSpPr>
        <xdr:cNvPr id="23" name="Rectangle à coins arrondis 2">
          <a:hlinkClick xmlns:r="http://schemas.openxmlformats.org/officeDocument/2006/relationships" r:id="rId7" tooltip="Introduction"/>
        </xdr:cNvPr>
        <xdr:cNvSpPr>
          <a:spLocks noChangeArrowheads="1"/>
        </xdr:cNvSpPr>
      </xdr:nvSpPr>
      <xdr:spPr bwMode="auto">
        <a:xfrm>
          <a:off x="6591300" y="42862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FFA500"/>
              </a:solidFill>
              <a:effectLst/>
              <a:latin typeface="Arial" panose="020B0604020202020204" pitchFamily="34" charset="0"/>
              <a:ea typeface="+mn-ea"/>
              <a:cs typeface="Arial" panose="020B0604020202020204" pitchFamily="34" charset="0"/>
            </a:rPr>
            <a:t>Introduction</a:t>
          </a:r>
          <a:endParaRPr lang="fr-FR" sz="1200" b="0" i="0" u="none" strike="noStrike" baseline="0">
            <a:solidFill>
              <a:srgbClr val="FFA500"/>
            </a:solidFill>
            <a:latin typeface="Arial" panose="020B0604020202020204" pitchFamily="34" charset="0"/>
            <a:cs typeface="Arial" panose="020B060402020202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361950</xdr:colOff>
      <xdr:row>1</xdr:row>
      <xdr:rowOff>123825</xdr:rowOff>
    </xdr:from>
    <xdr:to>
      <xdr:col>2</xdr:col>
      <xdr:colOff>912225</xdr:colOff>
      <xdr:row>3</xdr:row>
      <xdr:rowOff>66825</xdr:rowOff>
    </xdr:to>
    <xdr:sp macro="" textlink="">
      <xdr:nvSpPr>
        <xdr:cNvPr id="4" name="Rectangle à coins arrondis 2">
          <a:hlinkClick xmlns:r="http://schemas.openxmlformats.org/officeDocument/2006/relationships" r:id="rId1" tooltip="Back to C&amp;M"/>
        </xdr:cNvPr>
        <xdr:cNvSpPr>
          <a:spLocks noChangeArrowheads="1"/>
        </xdr:cNvSpPr>
      </xdr:nvSpPr>
      <xdr:spPr bwMode="auto">
        <a:xfrm>
          <a:off x="361950" y="447675"/>
          <a:ext cx="216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3</xdr:col>
      <xdr:colOff>190500</xdr:colOff>
      <xdr:row>1</xdr:row>
      <xdr:rowOff>114299</xdr:rowOff>
    </xdr:from>
    <xdr:to>
      <xdr:col>4</xdr:col>
      <xdr:colOff>1121775</xdr:colOff>
      <xdr:row>3</xdr:row>
      <xdr:rowOff>57299</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2933700" y="438149"/>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16</xdr:row>
      <xdr:rowOff>171450</xdr:rowOff>
    </xdr:from>
    <xdr:to>
      <xdr:col>1</xdr:col>
      <xdr:colOff>415050</xdr:colOff>
      <xdr:row>18</xdr:row>
      <xdr:rowOff>110250</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3609975"/>
          <a:ext cx="396000" cy="396000"/>
        </a:xfrm>
        <a:prstGeom prst="rect">
          <a:avLst/>
        </a:prstGeom>
      </xdr:spPr>
    </xdr:pic>
    <xdr:clientData/>
  </xdr:twoCellAnchor>
  <xdr:twoCellAnchor editAs="oneCell">
    <xdr:from>
      <xdr:col>1</xdr:col>
      <xdr:colOff>9525</xdr:colOff>
      <xdr:row>14</xdr:row>
      <xdr:rowOff>57150</xdr:rowOff>
    </xdr:from>
    <xdr:to>
      <xdr:col>1</xdr:col>
      <xdr:colOff>405525</xdr:colOff>
      <xdr:row>16</xdr:row>
      <xdr:rowOff>110250</xdr:rowOff>
    </xdr:to>
    <xdr:pic>
      <xdr:nvPicPr>
        <xdr:cNvPr id="3"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3057525"/>
          <a:ext cx="396000" cy="396000"/>
        </a:xfrm>
        <a:prstGeom prst="rect">
          <a:avLst/>
        </a:prstGeom>
      </xdr:spPr>
    </xdr:pic>
    <xdr:clientData/>
  </xdr:twoCellAnchor>
  <xdr:twoCellAnchor>
    <xdr:from>
      <xdr:col>7</xdr:col>
      <xdr:colOff>304800</xdr:colOff>
      <xdr:row>1</xdr:row>
      <xdr:rowOff>114300</xdr:rowOff>
    </xdr:from>
    <xdr:to>
      <xdr:col>7</xdr:col>
      <xdr:colOff>752475</xdr:colOff>
      <xdr:row>3</xdr:row>
      <xdr:rowOff>85725</xdr:rowOff>
    </xdr:to>
    <xdr:sp macro="" textlink="">
      <xdr:nvSpPr>
        <xdr:cNvPr id="6" name="Up Arrow 5">
          <a:hlinkClick xmlns:r="http://schemas.openxmlformats.org/officeDocument/2006/relationships" r:id="rId5" tooltip="Back to top"/>
        </xdr:cNvPr>
        <xdr:cNvSpPr/>
      </xdr:nvSpPr>
      <xdr:spPr>
        <a:xfrm>
          <a:off x="7886700" y="438150"/>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352423</xdr:colOff>
      <xdr:row>1</xdr:row>
      <xdr:rowOff>123826</xdr:rowOff>
    </xdr:from>
    <xdr:to>
      <xdr:col>2</xdr:col>
      <xdr:colOff>362698</xdr:colOff>
      <xdr:row>3</xdr:row>
      <xdr:rowOff>66826</xdr:rowOff>
    </xdr:to>
    <xdr:sp macro="" textlink="">
      <xdr:nvSpPr>
        <xdr:cNvPr id="5" name="Rectangle à coins arrondis 2">
          <a:hlinkClick xmlns:r="http://schemas.openxmlformats.org/officeDocument/2006/relationships" r:id="rId1" tooltip="Back to C&amp;M"/>
        </xdr:cNvPr>
        <xdr:cNvSpPr>
          <a:spLocks noChangeArrowheads="1"/>
        </xdr:cNvSpPr>
      </xdr:nvSpPr>
      <xdr:spPr bwMode="auto">
        <a:xfrm>
          <a:off x="352423" y="447676"/>
          <a:ext cx="16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561975</xdr:colOff>
      <xdr:row>1</xdr:row>
      <xdr:rowOff>123825</xdr:rowOff>
    </xdr:from>
    <xdr:to>
      <xdr:col>3</xdr:col>
      <xdr:colOff>1058025</xdr:colOff>
      <xdr:row>3</xdr:row>
      <xdr:rowOff>66825</xdr:rowOff>
    </xdr:to>
    <xdr:sp macro="" textlink="">
      <xdr:nvSpPr>
        <xdr:cNvPr id="6" name="Rectangle à coins arrondis 5">
          <a:hlinkClick xmlns:r="http://schemas.openxmlformats.org/officeDocument/2006/relationships" r:id="rId2" tooltip="Scorecard"/>
        </xdr:cNvPr>
        <xdr:cNvSpPr>
          <a:spLocks noChangeArrowheads="1"/>
        </xdr:cNvSpPr>
      </xdr:nvSpPr>
      <xdr:spPr bwMode="auto">
        <a:xfrm>
          <a:off x="2171700" y="447675"/>
          <a:ext cx="162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161925</xdr:colOff>
      <xdr:row>1</xdr:row>
      <xdr:rowOff>152400</xdr:rowOff>
    </xdr:from>
    <xdr:to>
      <xdr:col>4</xdr:col>
      <xdr:colOff>1097925</xdr:colOff>
      <xdr:row>3</xdr:row>
      <xdr:rowOff>59400</xdr:rowOff>
    </xdr:to>
    <xdr:sp macro="" textlink="">
      <xdr:nvSpPr>
        <xdr:cNvPr id="7" name="Rectangle à coins arrondis 2">
          <a:hlinkClick xmlns:r="http://schemas.openxmlformats.org/officeDocument/2006/relationships" r:id="rId3" tooltip="Strategy A"/>
        </xdr:cNvPr>
        <xdr:cNvSpPr>
          <a:spLocks noChangeArrowheads="1"/>
        </xdr:cNvSpPr>
      </xdr:nvSpPr>
      <xdr:spPr bwMode="auto">
        <a:xfrm>
          <a:off x="412432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4</xdr:col>
      <xdr:colOff>1171575</xdr:colOff>
      <xdr:row>1</xdr:row>
      <xdr:rowOff>152400</xdr:rowOff>
    </xdr:from>
    <xdr:to>
      <xdr:col>5</xdr:col>
      <xdr:colOff>878850</xdr:colOff>
      <xdr:row>3</xdr:row>
      <xdr:rowOff>59400</xdr:rowOff>
    </xdr:to>
    <xdr:sp macro="" textlink="">
      <xdr:nvSpPr>
        <xdr:cNvPr id="8" name="Rectangle à coins arrondis 2">
          <a:hlinkClick xmlns:r="http://schemas.openxmlformats.org/officeDocument/2006/relationships" r:id="rId4" tooltip="Strategy B"/>
        </xdr:cNvPr>
        <xdr:cNvSpPr>
          <a:spLocks noChangeArrowheads="1"/>
        </xdr:cNvSpPr>
      </xdr:nvSpPr>
      <xdr:spPr bwMode="auto">
        <a:xfrm>
          <a:off x="513397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952500</xdr:colOff>
      <xdr:row>1</xdr:row>
      <xdr:rowOff>152400</xdr:rowOff>
    </xdr:from>
    <xdr:to>
      <xdr:col>6</xdr:col>
      <xdr:colOff>659775</xdr:colOff>
      <xdr:row>3</xdr:row>
      <xdr:rowOff>59400</xdr:rowOff>
    </xdr:to>
    <xdr:sp macro="" textlink="">
      <xdr:nvSpPr>
        <xdr:cNvPr id="9" name="Rectangle à coins arrondis 2">
          <a:hlinkClick xmlns:r="http://schemas.openxmlformats.org/officeDocument/2006/relationships" r:id="rId5" tooltip="Strategy C"/>
        </xdr:cNvPr>
        <xdr:cNvSpPr>
          <a:spLocks noChangeArrowheads="1"/>
        </xdr:cNvSpPr>
      </xdr:nvSpPr>
      <xdr:spPr bwMode="auto">
        <a:xfrm>
          <a:off x="614362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733425</xdr:colOff>
      <xdr:row>1</xdr:row>
      <xdr:rowOff>152400</xdr:rowOff>
    </xdr:from>
    <xdr:to>
      <xdr:col>7</xdr:col>
      <xdr:colOff>450225</xdr:colOff>
      <xdr:row>3</xdr:row>
      <xdr:rowOff>59400</xdr:rowOff>
    </xdr:to>
    <xdr:sp macro="" textlink="">
      <xdr:nvSpPr>
        <xdr:cNvPr id="10" name="Rectangle à coins arrondis 2">
          <a:hlinkClick xmlns:r="http://schemas.openxmlformats.org/officeDocument/2006/relationships" r:id="rId6" tooltip="Strategy D"/>
        </xdr:cNvPr>
        <xdr:cNvSpPr>
          <a:spLocks noChangeArrowheads="1"/>
        </xdr:cNvSpPr>
      </xdr:nvSpPr>
      <xdr:spPr bwMode="auto">
        <a:xfrm>
          <a:off x="715327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38100</xdr:colOff>
      <xdr:row>92</xdr:row>
      <xdr:rowOff>66675</xdr:rowOff>
    </xdr:from>
    <xdr:to>
      <xdr:col>1</xdr:col>
      <xdr:colOff>398100</xdr:colOff>
      <xdr:row>94</xdr:row>
      <xdr:rowOff>83775</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7116425"/>
          <a:ext cx="360000" cy="360000"/>
        </a:xfrm>
        <a:prstGeom prst="rect">
          <a:avLst/>
        </a:prstGeom>
      </xdr:spPr>
    </xdr:pic>
    <xdr:clientData/>
  </xdr:twoCellAnchor>
  <xdr:oneCellAnchor>
    <xdr:from>
      <xdr:col>1</xdr:col>
      <xdr:colOff>38100</xdr:colOff>
      <xdr:row>94</xdr:row>
      <xdr:rowOff>142875</xdr:rowOff>
    </xdr:from>
    <xdr:ext cx="360000" cy="360000"/>
    <xdr:pic>
      <xdr:nvPicPr>
        <xdr:cNvPr id="14" name="Picture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20107275"/>
          <a:ext cx="360000" cy="360000"/>
        </a:xfrm>
        <a:prstGeom prst="rect">
          <a:avLst/>
        </a:prstGeom>
      </xdr:spPr>
    </xdr:pic>
    <xdr:clientData/>
  </xdr:oneCellAnchor>
  <xdr:twoCellAnchor editAs="oneCell">
    <xdr:from>
      <xdr:col>1</xdr:col>
      <xdr:colOff>38100</xdr:colOff>
      <xdr:row>68</xdr:row>
      <xdr:rowOff>66675</xdr:rowOff>
    </xdr:from>
    <xdr:to>
      <xdr:col>1</xdr:col>
      <xdr:colOff>398100</xdr:colOff>
      <xdr:row>70</xdr:row>
      <xdr:rowOff>83775</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1801475"/>
          <a:ext cx="360000" cy="360000"/>
        </a:xfrm>
        <a:prstGeom prst="rect">
          <a:avLst/>
        </a:prstGeom>
      </xdr:spPr>
    </xdr:pic>
    <xdr:clientData/>
  </xdr:twoCellAnchor>
  <xdr:twoCellAnchor editAs="oneCell">
    <xdr:from>
      <xdr:col>1</xdr:col>
      <xdr:colOff>28575</xdr:colOff>
      <xdr:row>20</xdr:row>
      <xdr:rowOff>76200</xdr:rowOff>
    </xdr:from>
    <xdr:to>
      <xdr:col>1</xdr:col>
      <xdr:colOff>388575</xdr:colOff>
      <xdr:row>22</xdr:row>
      <xdr:rowOff>93300</xdr:rowOff>
    </xdr:to>
    <xdr:pic>
      <xdr:nvPicPr>
        <xdr:cNvPr id="16" name="Picture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5191125"/>
          <a:ext cx="360000" cy="360000"/>
        </a:xfrm>
        <a:prstGeom prst="rect">
          <a:avLst/>
        </a:prstGeom>
      </xdr:spPr>
    </xdr:pic>
    <xdr:clientData/>
  </xdr:twoCellAnchor>
  <xdr:oneCellAnchor>
    <xdr:from>
      <xdr:col>1</xdr:col>
      <xdr:colOff>19050</xdr:colOff>
      <xdr:row>131</xdr:row>
      <xdr:rowOff>123825</xdr:rowOff>
    </xdr:from>
    <xdr:ext cx="360000" cy="360000"/>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27041475"/>
          <a:ext cx="360000" cy="360000"/>
        </a:xfrm>
        <a:prstGeom prst="rect">
          <a:avLst/>
        </a:prstGeom>
      </xdr:spPr>
    </xdr:pic>
    <xdr:clientData/>
  </xdr:oneCellAnchor>
  <xdr:oneCellAnchor>
    <xdr:from>
      <xdr:col>1</xdr:col>
      <xdr:colOff>47625</xdr:colOff>
      <xdr:row>70</xdr:row>
      <xdr:rowOff>142875</xdr:rowOff>
    </xdr:from>
    <xdr:ext cx="360000" cy="360000"/>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2220575"/>
          <a:ext cx="360000" cy="360000"/>
        </a:xfrm>
        <a:prstGeom prst="rect">
          <a:avLst/>
        </a:prstGeom>
      </xdr:spPr>
    </xdr:pic>
    <xdr:clientData/>
  </xdr:oneCellAnchor>
  <xdr:oneCellAnchor>
    <xdr:from>
      <xdr:col>1</xdr:col>
      <xdr:colOff>28575</xdr:colOff>
      <xdr:row>22</xdr:row>
      <xdr:rowOff>142875</xdr:rowOff>
    </xdr:from>
    <xdr:ext cx="360000" cy="360000"/>
    <xdr:pic>
      <xdr:nvPicPr>
        <xdr:cNvPr id="19"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5581650"/>
          <a:ext cx="360000" cy="360000"/>
        </a:xfrm>
        <a:prstGeom prst="rect">
          <a:avLst/>
        </a:prstGeom>
      </xdr:spPr>
    </xdr:pic>
    <xdr:clientData/>
  </xdr:oneCellAnchor>
  <xdr:oneCellAnchor>
    <xdr:from>
      <xdr:col>1</xdr:col>
      <xdr:colOff>38100</xdr:colOff>
      <xdr:row>133</xdr:row>
      <xdr:rowOff>161925</xdr:rowOff>
    </xdr:from>
    <xdr:ext cx="360000" cy="360000"/>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30822900"/>
          <a:ext cx="360000" cy="360000"/>
        </a:xfrm>
        <a:prstGeom prst="rect">
          <a:avLst/>
        </a:prstGeom>
      </xdr:spPr>
    </xdr:pic>
    <xdr:clientData/>
  </xdr:oneCellAnchor>
  <xdr:twoCellAnchor>
    <xdr:from>
      <xdr:col>7</xdr:col>
      <xdr:colOff>590550</xdr:colOff>
      <xdr:row>1</xdr:row>
      <xdr:rowOff>114300</xdr:rowOff>
    </xdr:from>
    <xdr:to>
      <xdr:col>7</xdr:col>
      <xdr:colOff>1038225</xdr:colOff>
      <xdr:row>3</xdr:row>
      <xdr:rowOff>85725</xdr:rowOff>
    </xdr:to>
    <xdr:sp macro="" textlink="">
      <xdr:nvSpPr>
        <xdr:cNvPr id="21" name="Up Arrow 20">
          <a:hlinkClick xmlns:r="http://schemas.openxmlformats.org/officeDocument/2006/relationships" r:id="rId9" tooltip="Back to top"/>
        </xdr:cNvPr>
        <xdr:cNvSpPr/>
      </xdr:nvSpPr>
      <xdr:spPr>
        <a:xfrm>
          <a:off x="8229600" y="438150"/>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38100</xdr:colOff>
      <xdr:row>135</xdr:row>
      <xdr:rowOff>123825</xdr:rowOff>
    </xdr:from>
    <xdr:to>
      <xdr:col>1</xdr:col>
      <xdr:colOff>398100</xdr:colOff>
      <xdr:row>137</xdr:row>
      <xdr:rowOff>83775</xdr:rowOff>
    </xdr:to>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31222950"/>
          <a:ext cx="360000" cy="360000"/>
        </a:xfrm>
        <a:prstGeom prst="rect">
          <a:avLst/>
        </a:prstGeom>
      </xdr:spPr>
    </xdr:pic>
    <xdr:clientData/>
  </xdr:twoCellAnchor>
  <xdr:oneCellAnchor>
    <xdr:from>
      <xdr:col>1</xdr:col>
      <xdr:colOff>38100</xdr:colOff>
      <xdr:row>147</xdr:row>
      <xdr:rowOff>171450</xdr:rowOff>
    </xdr:from>
    <xdr:ext cx="360000" cy="360000"/>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33756600"/>
          <a:ext cx="360000" cy="360000"/>
        </a:xfrm>
        <a:prstGeom prst="rect">
          <a:avLst/>
        </a:prstGeom>
      </xdr:spPr>
    </xdr:pic>
    <xdr:clientData/>
  </xdr:oneCellAnchor>
  <xdr:oneCellAnchor>
    <xdr:from>
      <xdr:col>1</xdr:col>
      <xdr:colOff>19050</xdr:colOff>
      <xdr:row>24</xdr:row>
      <xdr:rowOff>123825</xdr:rowOff>
    </xdr:from>
    <xdr:ext cx="360000" cy="360000"/>
    <xdr:pic>
      <xdr:nvPicPr>
        <xdr:cNvPr id="24" name="Picture 2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0050" y="6000750"/>
          <a:ext cx="360000" cy="360000"/>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0</xdr:col>
      <xdr:colOff>342899</xdr:colOff>
      <xdr:row>1</xdr:row>
      <xdr:rowOff>123826</xdr:rowOff>
    </xdr:from>
    <xdr:to>
      <xdr:col>2</xdr:col>
      <xdr:colOff>893174</xdr:colOff>
      <xdr:row>3</xdr:row>
      <xdr:rowOff>66826</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42899" y="447676"/>
          <a:ext cx="216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1209675</xdr:colOff>
      <xdr:row>1</xdr:row>
      <xdr:rowOff>123825</xdr:rowOff>
    </xdr:from>
    <xdr:to>
      <xdr:col>4</xdr:col>
      <xdr:colOff>598875</xdr:colOff>
      <xdr:row>3</xdr:row>
      <xdr:rowOff>66825</xdr:rowOff>
    </xdr:to>
    <xdr:sp macro="" textlink="">
      <xdr:nvSpPr>
        <xdr:cNvPr id="4" name="Rectangle à coins arrondis 2">
          <a:hlinkClick xmlns:r="http://schemas.openxmlformats.org/officeDocument/2006/relationships" r:id="rId2" tooltip="Scorecard"/>
        </xdr:cNvPr>
        <xdr:cNvSpPr>
          <a:spLocks noChangeArrowheads="1"/>
        </xdr:cNvSpPr>
      </xdr:nvSpPr>
      <xdr:spPr bwMode="auto">
        <a:xfrm>
          <a:off x="2819400"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0</xdr:col>
      <xdr:colOff>333375</xdr:colOff>
      <xdr:row>27</xdr:row>
      <xdr:rowOff>142875</xdr:rowOff>
    </xdr:from>
    <xdr:ext cx="360000" cy="360000"/>
    <xdr:pic>
      <xdr:nvPicPr>
        <xdr:cNvPr id="26" name="Picture 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7372350"/>
          <a:ext cx="360000" cy="360000"/>
        </a:xfrm>
        <a:prstGeom prst="rect">
          <a:avLst/>
        </a:prstGeom>
      </xdr:spPr>
    </xdr:pic>
    <xdr:clientData/>
  </xdr:oneCellAnchor>
  <xdr:twoCellAnchor>
    <xdr:from>
      <xdr:col>5</xdr:col>
      <xdr:colOff>923925</xdr:colOff>
      <xdr:row>1</xdr:row>
      <xdr:rowOff>142875</xdr:rowOff>
    </xdr:from>
    <xdr:to>
      <xdr:col>6</xdr:col>
      <xdr:colOff>595200</xdr:colOff>
      <xdr:row>3</xdr:row>
      <xdr:rowOff>49875</xdr:rowOff>
    </xdr:to>
    <xdr:sp macro="" textlink="">
      <xdr:nvSpPr>
        <xdr:cNvPr id="27" name="Rectangle à coins arrondis 2">
          <a:hlinkClick xmlns:r="http://schemas.openxmlformats.org/officeDocument/2006/relationships" r:id="rId4" tooltip="Strategy A"/>
        </xdr:cNvPr>
        <xdr:cNvSpPr>
          <a:spLocks noChangeArrowheads="1"/>
        </xdr:cNvSpPr>
      </xdr:nvSpPr>
      <xdr:spPr bwMode="auto">
        <a:xfrm>
          <a:off x="635317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695324</xdr:colOff>
      <xdr:row>1</xdr:row>
      <xdr:rowOff>142875</xdr:rowOff>
    </xdr:from>
    <xdr:to>
      <xdr:col>7</xdr:col>
      <xdr:colOff>214199</xdr:colOff>
      <xdr:row>3</xdr:row>
      <xdr:rowOff>49875</xdr:rowOff>
    </xdr:to>
    <xdr:sp macro="" textlink="">
      <xdr:nvSpPr>
        <xdr:cNvPr id="28" name="Rectangle à coins arrondis 2">
          <a:hlinkClick xmlns:r="http://schemas.openxmlformats.org/officeDocument/2006/relationships" r:id="rId5" tooltip="Strategy B"/>
        </xdr:cNvPr>
        <xdr:cNvSpPr>
          <a:spLocks noChangeArrowheads="1"/>
        </xdr:cNvSpPr>
      </xdr:nvSpPr>
      <xdr:spPr bwMode="auto">
        <a:xfrm>
          <a:off x="7353299"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0</xdr:col>
      <xdr:colOff>333375</xdr:colOff>
      <xdr:row>30</xdr:row>
      <xdr:rowOff>95250</xdr:rowOff>
    </xdr:from>
    <xdr:to>
      <xdr:col>1</xdr:col>
      <xdr:colOff>312375</xdr:colOff>
      <xdr:row>32</xdr:row>
      <xdr:rowOff>93300</xdr:rowOff>
    </xdr:to>
    <xdr:pic>
      <xdr:nvPicPr>
        <xdr:cNvPr id="3" name="Picture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7820025"/>
          <a:ext cx="360000" cy="360000"/>
        </a:xfrm>
        <a:prstGeom prst="rect">
          <a:avLst/>
        </a:prstGeom>
      </xdr:spPr>
    </xdr:pic>
    <xdr:clientData/>
  </xdr:twoCellAnchor>
  <xdr:oneCellAnchor>
    <xdr:from>
      <xdr:col>0</xdr:col>
      <xdr:colOff>342900</xdr:colOff>
      <xdr:row>32</xdr:row>
      <xdr:rowOff>142875</xdr:rowOff>
    </xdr:from>
    <xdr:ext cx="360000" cy="360000"/>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8229600"/>
          <a:ext cx="360000" cy="360000"/>
        </a:xfrm>
        <a:prstGeom prst="rect">
          <a:avLst/>
        </a:prstGeom>
      </xdr:spPr>
    </xdr:pic>
    <xdr:clientData/>
  </xdr:oneCellAnchor>
  <xdr:oneCellAnchor>
    <xdr:from>
      <xdr:col>0</xdr:col>
      <xdr:colOff>342900</xdr:colOff>
      <xdr:row>97</xdr:row>
      <xdr:rowOff>104775</xdr:rowOff>
    </xdr:from>
    <xdr:ext cx="360000" cy="360000"/>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13839825"/>
          <a:ext cx="360000" cy="360000"/>
        </a:xfrm>
        <a:prstGeom prst="rect">
          <a:avLst/>
        </a:prstGeom>
      </xdr:spPr>
    </xdr:pic>
    <xdr:clientData/>
  </xdr:oneCellAnchor>
  <xdr:twoCellAnchor>
    <xdr:from>
      <xdr:col>7</xdr:col>
      <xdr:colOff>342900</xdr:colOff>
      <xdr:row>1</xdr:row>
      <xdr:rowOff>104775</xdr:rowOff>
    </xdr:from>
    <xdr:to>
      <xdr:col>7</xdr:col>
      <xdr:colOff>790575</xdr:colOff>
      <xdr:row>3</xdr:row>
      <xdr:rowOff>76200</xdr:rowOff>
    </xdr:to>
    <xdr:sp macro="" textlink="">
      <xdr:nvSpPr>
        <xdr:cNvPr id="13" name="Up Arrow 12">
          <a:hlinkClick xmlns:r="http://schemas.openxmlformats.org/officeDocument/2006/relationships" r:id="rId8" tooltip="Back to top"/>
        </xdr:cNvPr>
        <xdr:cNvSpPr/>
      </xdr:nvSpPr>
      <xdr:spPr>
        <a:xfrm>
          <a:off x="8382000" y="428625"/>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1143000</xdr:colOff>
      <xdr:row>1</xdr:row>
      <xdr:rowOff>142875</xdr:rowOff>
    </xdr:from>
    <xdr:to>
      <xdr:col>5</xdr:col>
      <xdr:colOff>814275</xdr:colOff>
      <xdr:row>3</xdr:row>
      <xdr:rowOff>49875</xdr:rowOff>
    </xdr:to>
    <xdr:sp macro="" textlink="">
      <xdr:nvSpPr>
        <xdr:cNvPr id="17" name="Rectangle à coins arrondis 2">
          <a:hlinkClick xmlns:r="http://schemas.openxmlformats.org/officeDocument/2006/relationships" r:id="rId9" tooltip="Glossary"/>
        </xdr:cNvPr>
        <xdr:cNvSpPr>
          <a:spLocks noChangeArrowheads="1"/>
        </xdr:cNvSpPr>
      </xdr:nvSpPr>
      <xdr:spPr bwMode="auto">
        <a:xfrm>
          <a:off x="534352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editAs="oneCell">
    <xdr:from>
      <xdr:col>1</xdr:col>
      <xdr:colOff>38100</xdr:colOff>
      <xdr:row>19</xdr:row>
      <xdr:rowOff>76200</xdr:rowOff>
    </xdr:from>
    <xdr:to>
      <xdr:col>1</xdr:col>
      <xdr:colOff>576005</xdr:colOff>
      <xdr:row>20</xdr:row>
      <xdr:rowOff>273300</xdr:rowOff>
    </xdr:to>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5248275"/>
          <a:ext cx="537905" cy="540000"/>
        </a:xfrm>
        <a:prstGeom prst="rect">
          <a:avLst/>
        </a:prstGeom>
      </xdr:spPr>
    </xdr:pic>
    <xdr:clientData/>
  </xdr:twoCellAnchor>
  <xdr:oneCellAnchor>
    <xdr:from>
      <xdr:col>1</xdr:col>
      <xdr:colOff>0</xdr:colOff>
      <xdr:row>54</xdr:row>
      <xdr:rowOff>104775</xdr:rowOff>
    </xdr:from>
    <xdr:ext cx="396000" cy="396000"/>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3049250"/>
          <a:ext cx="396000" cy="396000"/>
        </a:xfrm>
        <a:prstGeom prst="rect">
          <a:avLst/>
        </a:prstGeom>
      </xdr:spPr>
    </xdr:pic>
    <xdr:clientData/>
  </xdr:oneCellAnchor>
  <xdr:oneCellAnchor>
    <xdr:from>
      <xdr:col>1</xdr:col>
      <xdr:colOff>28575</xdr:colOff>
      <xdr:row>61</xdr:row>
      <xdr:rowOff>133350</xdr:rowOff>
    </xdr:from>
    <xdr:ext cx="360000" cy="360000"/>
    <xdr:pic>
      <xdr:nvPicPr>
        <xdr:cNvPr id="19" name="Picture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30527625"/>
          <a:ext cx="360000" cy="360000"/>
        </a:xfrm>
        <a:prstGeom prst="rect">
          <a:avLst/>
        </a:prstGeom>
      </xdr:spPr>
    </xdr:pic>
    <xdr:clientData/>
  </xdr:oneCellAnchor>
  <xdr:oneCellAnchor>
    <xdr:from>
      <xdr:col>1</xdr:col>
      <xdr:colOff>57150</xdr:colOff>
      <xdr:row>58</xdr:row>
      <xdr:rowOff>104775</xdr:rowOff>
    </xdr:from>
    <xdr:ext cx="468000" cy="468000"/>
    <xdr:pic>
      <xdr:nvPicPr>
        <xdr:cNvPr id="20" name="Pictur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29622750"/>
          <a:ext cx="468000" cy="46800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361949</xdr:colOff>
      <xdr:row>1</xdr:row>
      <xdr:rowOff>123826</xdr:rowOff>
    </xdr:from>
    <xdr:to>
      <xdr:col>2</xdr:col>
      <xdr:colOff>912224</xdr:colOff>
      <xdr:row>3</xdr:row>
      <xdr:rowOff>66826</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61949" y="447676"/>
          <a:ext cx="216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3</xdr:col>
      <xdr:colOff>171450</xdr:colOff>
      <xdr:row>1</xdr:row>
      <xdr:rowOff>123825</xdr:rowOff>
    </xdr:from>
    <xdr:to>
      <xdr:col>4</xdr:col>
      <xdr:colOff>1102725</xdr:colOff>
      <xdr:row>3</xdr:row>
      <xdr:rowOff>66825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9146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18</xdr:row>
      <xdr:rowOff>57150</xdr:rowOff>
    </xdr:from>
    <xdr:to>
      <xdr:col>1</xdr:col>
      <xdr:colOff>396000</xdr:colOff>
      <xdr:row>20</xdr:row>
      <xdr:rowOff>110250</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76600"/>
          <a:ext cx="396000" cy="396000"/>
        </a:xfrm>
        <a:prstGeom prst="rect">
          <a:avLst/>
        </a:prstGeom>
      </xdr:spPr>
    </xdr:pic>
    <xdr:clientData/>
  </xdr:twoCellAnchor>
  <xdr:oneCellAnchor>
    <xdr:from>
      <xdr:col>1</xdr:col>
      <xdr:colOff>0</xdr:colOff>
      <xdr:row>49</xdr:row>
      <xdr:rowOff>85725</xdr:rowOff>
    </xdr:from>
    <xdr:ext cx="396000" cy="396000"/>
    <xdr:pic>
      <xdr:nvPicPr>
        <xdr:cNvPr id="17" name="Picture 1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0591800"/>
          <a:ext cx="396000" cy="396000"/>
        </a:xfrm>
        <a:prstGeom prst="rect">
          <a:avLst/>
        </a:prstGeom>
      </xdr:spPr>
    </xdr:pic>
    <xdr:clientData/>
  </xdr:oneCellAnchor>
  <xdr:twoCellAnchor>
    <xdr:from>
      <xdr:col>5</xdr:col>
      <xdr:colOff>314325</xdr:colOff>
      <xdr:row>1</xdr:row>
      <xdr:rowOff>142875</xdr:rowOff>
    </xdr:from>
    <xdr:to>
      <xdr:col>6</xdr:col>
      <xdr:colOff>165600</xdr:colOff>
      <xdr:row>3</xdr:row>
      <xdr:rowOff>49875</xdr:rowOff>
    </xdr:to>
    <xdr:sp macro="" textlink="">
      <xdr:nvSpPr>
        <xdr:cNvPr id="18" name="Rectangle à coins arrondis 2">
          <a:hlinkClick xmlns:r="http://schemas.openxmlformats.org/officeDocument/2006/relationships" r:id="rId4" tooltip="Strategy A"/>
        </xdr:cNvPr>
        <xdr:cNvSpPr>
          <a:spLocks noChangeArrowheads="1"/>
        </xdr:cNvSpPr>
      </xdr:nvSpPr>
      <xdr:spPr bwMode="auto">
        <a:xfrm>
          <a:off x="5514975"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342899</xdr:colOff>
      <xdr:row>1</xdr:row>
      <xdr:rowOff>142875</xdr:rowOff>
    </xdr:from>
    <xdr:to>
      <xdr:col>7</xdr:col>
      <xdr:colOff>203699</xdr:colOff>
      <xdr:row>3</xdr:row>
      <xdr:rowOff>49875</xdr:rowOff>
    </xdr:to>
    <xdr:sp macro="" textlink="">
      <xdr:nvSpPr>
        <xdr:cNvPr id="19" name="Rectangle à coins arrondis 2">
          <a:hlinkClick xmlns:r="http://schemas.openxmlformats.org/officeDocument/2006/relationships" r:id="rId5" tooltip="Strategy B"/>
        </xdr:cNvPr>
        <xdr:cNvSpPr>
          <a:spLocks noChangeArrowheads="1"/>
        </xdr:cNvSpPr>
      </xdr:nvSpPr>
      <xdr:spPr bwMode="auto">
        <a:xfrm>
          <a:off x="6772274"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oneCellAnchor>
    <xdr:from>
      <xdr:col>1</xdr:col>
      <xdr:colOff>28575</xdr:colOff>
      <xdr:row>22</xdr:row>
      <xdr:rowOff>104775</xdr:rowOff>
    </xdr:from>
    <xdr:ext cx="360000" cy="360000"/>
    <xdr:pic>
      <xdr:nvPicPr>
        <xdr:cNvPr id="20" name="Picture 1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5191125"/>
          <a:ext cx="360000" cy="360000"/>
        </a:xfrm>
        <a:prstGeom prst="rect">
          <a:avLst/>
        </a:prstGeom>
      </xdr:spPr>
    </xdr:pic>
    <xdr:clientData/>
  </xdr:oneCellAnchor>
  <xdr:oneCellAnchor>
    <xdr:from>
      <xdr:col>1</xdr:col>
      <xdr:colOff>28575</xdr:colOff>
      <xdr:row>51</xdr:row>
      <xdr:rowOff>152400</xdr:rowOff>
    </xdr:from>
    <xdr:ext cx="360000" cy="360000"/>
    <xdr:pic>
      <xdr:nvPicPr>
        <xdr:cNvPr id="21" name="Picture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11734800"/>
          <a:ext cx="360000" cy="360000"/>
        </a:xfrm>
        <a:prstGeom prst="rect">
          <a:avLst/>
        </a:prstGeom>
      </xdr:spPr>
    </xdr:pic>
    <xdr:clientData/>
  </xdr:oneCellAnchor>
  <xdr:twoCellAnchor>
    <xdr:from>
      <xdr:col>7</xdr:col>
      <xdr:colOff>466725</xdr:colOff>
      <xdr:row>1</xdr:row>
      <xdr:rowOff>104775</xdr:rowOff>
    </xdr:from>
    <xdr:to>
      <xdr:col>7</xdr:col>
      <xdr:colOff>914400</xdr:colOff>
      <xdr:row>3</xdr:row>
      <xdr:rowOff>76200</xdr:rowOff>
    </xdr:to>
    <xdr:sp macro="" textlink="">
      <xdr:nvSpPr>
        <xdr:cNvPr id="11" name="Up Arrow 10">
          <a:hlinkClick xmlns:r="http://schemas.openxmlformats.org/officeDocument/2006/relationships" r:id="rId7" tooltip="Back to top"/>
        </xdr:cNvPr>
        <xdr:cNvSpPr/>
      </xdr:nvSpPr>
      <xdr:spPr>
        <a:xfrm>
          <a:off x="8115300" y="428625"/>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314324</xdr:colOff>
      <xdr:row>1</xdr:row>
      <xdr:rowOff>123826</xdr:rowOff>
    </xdr:from>
    <xdr:to>
      <xdr:col>2</xdr:col>
      <xdr:colOff>684599</xdr:colOff>
      <xdr:row>3</xdr:row>
      <xdr:rowOff>66826</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14324" y="447676"/>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933449</xdr:colOff>
      <xdr:row>1</xdr:row>
      <xdr:rowOff>123825</xdr:rowOff>
    </xdr:from>
    <xdr:to>
      <xdr:col>4</xdr:col>
      <xdr:colOff>551249</xdr:colOff>
      <xdr:row>3</xdr:row>
      <xdr:rowOff>66825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543174"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76200</xdr:colOff>
      <xdr:row>60</xdr:row>
      <xdr:rowOff>85725</xdr:rowOff>
    </xdr:from>
    <xdr:to>
      <xdr:col>1</xdr:col>
      <xdr:colOff>544200</xdr:colOff>
      <xdr:row>62</xdr:row>
      <xdr:rowOff>134625</xdr:rowOff>
    </xdr:to>
    <xdr:pic>
      <xdr:nvPicPr>
        <xdr:cNvPr id="39" name="Picture 3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13258800"/>
          <a:ext cx="468000" cy="468000"/>
        </a:xfrm>
        <a:prstGeom prst="rect">
          <a:avLst/>
        </a:prstGeom>
      </xdr:spPr>
    </xdr:pic>
    <xdr:clientData/>
  </xdr:twoCellAnchor>
  <xdr:twoCellAnchor editAs="oneCell">
    <xdr:from>
      <xdr:col>1</xdr:col>
      <xdr:colOff>9525</xdr:colOff>
      <xdr:row>63</xdr:row>
      <xdr:rowOff>142875</xdr:rowOff>
    </xdr:from>
    <xdr:to>
      <xdr:col>1</xdr:col>
      <xdr:colOff>405525</xdr:colOff>
      <xdr:row>65</xdr:row>
      <xdr:rowOff>81675</xdr:rowOff>
    </xdr:to>
    <xdr:pic>
      <xdr:nvPicPr>
        <xdr:cNvPr id="40" name="Picture 3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13496925"/>
          <a:ext cx="396000" cy="396000"/>
        </a:xfrm>
        <a:prstGeom prst="rect">
          <a:avLst/>
        </a:prstGeom>
      </xdr:spPr>
    </xdr:pic>
    <xdr:clientData/>
  </xdr:twoCellAnchor>
  <xdr:twoCellAnchor>
    <xdr:from>
      <xdr:col>4</xdr:col>
      <xdr:colOff>1000125</xdr:colOff>
      <xdr:row>1</xdr:row>
      <xdr:rowOff>152400</xdr:rowOff>
    </xdr:from>
    <xdr:to>
      <xdr:col>5</xdr:col>
      <xdr:colOff>779400</xdr:colOff>
      <xdr:row>3</xdr:row>
      <xdr:rowOff>59400</xdr:rowOff>
    </xdr:to>
    <xdr:sp macro="" textlink="">
      <xdr:nvSpPr>
        <xdr:cNvPr id="41" name="Rectangle à coins arrondis 2">
          <a:hlinkClick xmlns:r="http://schemas.openxmlformats.org/officeDocument/2006/relationships" r:id="rId5" tooltip="Strategy A"/>
        </xdr:cNvPr>
        <xdr:cNvSpPr>
          <a:spLocks noChangeArrowheads="1"/>
        </xdr:cNvSpPr>
      </xdr:nvSpPr>
      <xdr:spPr bwMode="auto">
        <a:xfrm>
          <a:off x="497205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857250</xdr:colOff>
      <xdr:row>1</xdr:row>
      <xdr:rowOff>152400</xdr:rowOff>
    </xdr:from>
    <xdr:to>
      <xdr:col>6</xdr:col>
      <xdr:colOff>636525</xdr:colOff>
      <xdr:row>3</xdr:row>
      <xdr:rowOff>59400</xdr:rowOff>
    </xdr:to>
    <xdr:sp macro="" textlink="">
      <xdr:nvSpPr>
        <xdr:cNvPr id="42" name="Rectangle à coins arrondis 2">
          <a:hlinkClick xmlns:r="http://schemas.openxmlformats.org/officeDocument/2006/relationships" r:id="rId6" tooltip="Strategy B"/>
        </xdr:cNvPr>
        <xdr:cNvSpPr>
          <a:spLocks noChangeArrowheads="1"/>
        </xdr:cNvSpPr>
      </xdr:nvSpPr>
      <xdr:spPr bwMode="auto">
        <a:xfrm>
          <a:off x="605790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714375</xdr:colOff>
      <xdr:row>1</xdr:row>
      <xdr:rowOff>152400</xdr:rowOff>
    </xdr:from>
    <xdr:to>
      <xdr:col>7</xdr:col>
      <xdr:colOff>503175</xdr:colOff>
      <xdr:row>3</xdr:row>
      <xdr:rowOff>59400</xdr:rowOff>
    </xdr:to>
    <xdr:sp macro="" textlink="">
      <xdr:nvSpPr>
        <xdr:cNvPr id="43" name="Rectangle à coins arrondis 2">
          <a:hlinkClick xmlns:r="http://schemas.openxmlformats.org/officeDocument/2006/relationships" r:id="rId7" tooltip="Strategy C"/>
        </xdr:cNvPr>
        <xdr:cNvSpPr>
          <a:spLocks noChangeArrowheads="1"/>
        </xdr:cNvSpPr>
      </xdr:nvSpPr>
      <xdr:spPr bwMode="auto">
        <a:xfrm>
          <a:off x="714375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66675</xdr:colOff>
      <xdr:row>22</xdr:row>
      <xdr:rowOff>133350</xdr:rowOff>
    </xdr:from>
    <xdr:ext cx="468000" cy="468000"/>
    <xdr:pic>
      <xdr:nvPicPr>
        <xdr:cNvPr id="44" name="Picture 4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5219700"/>
          <a:ext cx="468000" cy="468000"/>
        </a:xfrm>
        <a:prstGeom prst="rect">
          <a:avLst/>
        </a:prstGeom>
      </xdr:spPr>
    </xdr:pic>
    <xdr:clientData/>
  </xdr:oneCellAnchor>
  <xdr:oneCellAnchor>
    <xdr:from>
      <xdr:col>1</xdr:col>
      <xdr:colOff>0</xdr:colOff>
      <xdr:row>19</xdr:row>
      <xdr:rowOff>76200</xdr:rowOff>
    </xdr:from>
    <xdr:ext cx="396000" cy="396000"/>
    <xdr:pic>
      <xdr:nvPicPr>
        <xdr:cNvPr id="53" name="Picture 5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4629150"/>
          <a:ext cx="396000" cy="396000"/>
        </a:xfrm>
        <a:prstGeom prst="rect">
          <a:avLst/>
        </a:prstGeom>
      </xdr:spPr>
    </xdr:pic>
    <xdr:clientData/>
  </xdr:oneCellAnchor>
  <xdr:oneCellAnchor>
    <xdr:from>
      <xdr:col>1</xdr:col>
      <xdr:colOff>0</xdr:colOff>
      <xdr:row>57</xdr:row>
      <xdr:rowOff>57150</xdr:rowOff>
    </xdr:from>
    <xdr:ext cx="396000" cy="396000"/>
    <xdr:pic>
      <xdr:nvPicPr>
        <xdr:cNvPr id="54" name="Picture 5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1887200"/>
          <a:ext cx="396000" cy="396000"/>
        </a:xfrm>
        <a:prstGeom prst="rect">
          <a:avLst/>
        </a:prstGeom>
      </xdr:spPr>
    </xdr:pic>
    <xdr:clientData/>
  </xdr:oneCellAnchor>
  <xdr:oneCellAnchor>
    <xdr:from>
      <xdr:col>1</xdr:col>
      <xdr:colOff>9525</xdr:colOff>
      <xdr:row>26</xdr:row>
      <xdr:rowOff>85725</xdr:rowOff>
    </xdr:from>
    <xdr:ext cx="396000" cy="396000"/>
    <xdr:pic>
      <xdr:nvPicPr>
        <xdr:cNvPr id="55" name="Picture 5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5934075"/>
          <a:ext cx="396000" cy="396000"/>
        </a:xfrm>
        <a:prstGeom prst="rect">
          <a:avLst/>
        </a:prstGeom>
      </xdr:spPr>
    </xdr:pic>
    <xdr:clientData/>
  </xdr:oneCellAnchor>
  <xdr:oneCellAnchor>
    <xdr:from>
      <xdr:col>1</xdr:col>
      <xdr:colOff>0</xdr:colOff>
      <xdr:row>93</xdr:row>
      <xdr:rowOff>57150</xdr:rowOff>
    </xdr:from>
    <xdr:ext cx="396000" cy="396000"/>
    <xdr:pic>
      <xdr:nvPicPr>
        <xdr:cNvPr id="56" name="Picture 5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2239625"/>
          <a:ext cx="396000" cy="396000"/>
        </a:xfrm>
        <a:prstGeom prst="rect">
          <a:avLst/>
        </a:prstGeom>
      </xdr:spPr>
    </xdr:pic>
    <xdr:clientData/>
  </xdr:oneCellAnchor>
  <xdr:oneCellAnchor>
    <xdr:from>
      <xdr:col>1</xdr:col>
      <xdr:colOff>19050</xdr:colOff>
      <xdr:row>99</xdr:row>
      <xdr:rowOff>123825</xdr:rowOff>
    </xdr:from>
    <xdr:ext cx="396000" cy="396000"/>
    <xdr:pic>
      <xdr:nvPicPr>
        <xdr:cNvPr id="57" name="Picture 5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21964650"/>
          <a:ext cx="396000" cy="396000"/>
        </a:xfrm>
        <a:prstGeom prst="rect">
          <a:avLst/>
        </a:prstGeom>
      </xdr:spPr>
    </xdr:pic>
    <xdr:clientData/>
  </xdr:oneCellAnchor>
  <xdr:oneCellAnchor>
    <xdr:from>
      <xdr:col>1</xdr:col>
      <xdr:colOff>47625</xdr:colOff>
      <xdr:row>96</xdr:row>
      <xdr:rowOff>66675</xdr:rowOff>
    </xdr:from>
    <xdr:ext cx="468000" cy="468000"/>
    <xdr:pic>
      <xdr:nvPicPr>
        <xdr:cNvPr id="49" name="Picture 4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13296900"/>
          <a:ext cx="468000" cy="468000"/>
        </a:xfrm>
        <a:prstGeom prst="rect">
          <a:avLst/>
        </a:prstGeom>
      </xdr:spPr>
    </xdr:pic>
    <xdr:clientData/>
  </xdr:oneCellAnchor>
  <xdr:twoCellAnchor>
    <xdr:from>
      <xdr:col>7</xdr:col>
      <xdr:colOff>695325</xdr:colOff>
      <xdr:row>1</xdr:row>
      <xdr:rowOff>114300</xdr:rowOff>
    </xdr:from>
    <xdr:to>
      <xdr:col>7</xdr:col>
      <xdr:colOff>1143000</xdr:colOff>
      <xdr:row>3</xdr:row>
      <xdr:rowOff>85725</xdr:rowOff>
    </xdr:to>
    <xdr:sp macro="" textlink="">
      <xdr:nvSpPr>
        <xdr:cNvPr id="16" name="Up Arrow 15">
          <a:hlinkClick xmlns:r="http://schemas.openxmlformats.org/officeDocument/2006/relationships" r:id="rId8" tooltip="Back to top"/>
        </xdr:cNvPr>
        <xdr:cNvSpPr/>
      </xdr:nvSpPr>
      <xdr:spPr>
        <a:xfrm>
          <a:off x="8343900" y="438150"/>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31747</xdr:colOff>
      <xdr:row>10</xdr:row>
      <xdr:rowOff>10582</xdr:rowOff>
    </xdr:from>
    <xdr:to>
      <xdr:col>1</xdr:col>
      <xdr:colOff>2011747</xdr:colOff>
      <xdr:row>12</xdr:row>
      <xdr:rowOff>25582</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412747" y="2741082"/>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105833</xdr:colOff>
      <xdr:row>0</xdr:row>
      <xdr:rowOff>42333</xdr:rowOff>
    </xdr:from>
    <xdr:to>
      <xdr:col>11</xdr:col>
      <xdr:colOff>159166</xdr:colOff>
      <xdr:row>2</xdr:row>
      <xdr:rowOff>210009</xdr:rowOff>
    </xdr:to>
    <xdr:pic>
      <xdr:nvPicPr>
        <xdr:cNvPr id="5" name="Image 2" descr="Innovation.png"/>
        <xdr:cNvPicPr>
          <a:picLocks noChangeAspect="1"/>
        </xdr:cNvPicPr>
      </xdr:nvPicPr>
      <xdr:blipFill>
        <a:blip xmlns:r="http://schemas.openxmlformats.org/officeDocument/2006/relationships" r:embed="rId2" cstate="print"/>
        <a:srcRect/>
        <a:stretch>
          <a:fillRect/>
        </a:stretch>
      </xdr:blipFill>
      <xdr:spPr bwMode="auto">
        <a:xfrm>
          <a:off x="10562166" y="42333"/>
          <a:ext cx="900000" cy="908509"/>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361950</xdr:colOff>
      <xdr:row>1</xdr:row>
      <xdr:rowOff>123825</xdr:rowOff>
    </xdr:from>
    <xdr:to>
      <xdr:col>2</xdr:col>
      <xdr:colOff>1092225</xdr:colOff>
      <xdr:row>3</xdr:row>
      <xdr:rowOff>66825</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61950" y="447675"/>
          <a:ext cx="234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504826</xdr:colOff>
      <xdr:row>1</xdr:row>
      <xdr:rowOff>123824</xdr:rowOff>
    </xdr:from>
    <xdr:to>
      <xdr:col>4</xdr:col>
      <xdr:colOff>1397026</xdr:colOff>
      <xdr:row>3</xdr:row>
      <xdr:rowOff>66824</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248026" y="447674"/>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14</xdr:row>
      <xdr:rowOff>76200</xdr:rowOff>
    </xdr:from>
    <xdr:to>
      <xdr:col>1</xdr:col>
      <xdr:colOff>379050</xdr:colOff>
      <xdr:row>16</xdr:row>
      <xdr:rowOff>102825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3152775"/>
          <a:ext cx="360000" cy="360000"/>
        </a:xfrm>
        <a:prstGeom prst="rect">
          <a:avLst/>
        </a:prstGeom>
      </xdr:spPr>
    </xdr:pic>
    <xdr:clientData/>
  </xdr:twoCellAnchor>
  <xdr:twoCellAnchor>
    <xdr:from>
      <xdr:col>8</xdr:col>
      <xdr:colOff>114300</xdr:colOff>
      <xdr:row>1</xdr:row>
      <xdr:rowOff>104775</xdr:rowOff>
    </xdr:from>
    <xdr:to>
      <xdr:col>8</xdr:col>
      <xdr:colOff>561975</xdr:colOff>
      <xdr:row>3</xdr:row>
      <xdr:rowOff>76200</xdr:rowOff>
    </xdr:to>
    <xdr:sp macro="" textlink="">
      <xdr:nvSpPr>
        <xdr:cNvPr id="5" name="Up Arrow 4">
          <a:hlinkClick xmlns:r="http://schemas.openxmlformats.org/officeDocument/2006/relationships" r:id="rId4" tooltip="Back to top"/>
        </xdr:cNvPr>
        <xdr:cNvSpPr/>
      </xdr:nvSpPr>
      <xdr:spPr>
        <a:xfrm>
          <a:off x="8886825" y="428625"/>
          <a:ext cx="447675"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247650</xdr:colOff>
      <xdr:row>1</xdr:row>
      <xdr:rowOff>123825</xdr:rowOff>
    </xdr:from>
    <xdr:to>
      <xdr:col>2</xdr:col>
      <xdr:colOff>977925</xdr:colOff>
      <xdr:row>3</xdr:row>
      <xdr:rowOff>66825</xdr:rowOff>
    </xdr:to>
    <xdr:sp macro="" textlink="">
      <xdr:nvSpPr>
        <xdr:cNvPr id="2" name="Rectangle à coins arrondis 2">
          <a:hlinkClick xmlns:r="http://schemas.openxmlformats.org/officeDocument/2006/relationships" r:id="rId1" tooltip="Back to Innovation"/>
        </xdr:cNvPr>
        <xdr:cNvSpPr>
          <a:spLocks noChangeArrowheads="1"/>
        </xdr:cNvSpPr>
      </xdr:nvSpPr>
      <xdr:spPr bwMode="auto">
        <a:xfrm>
          <a:off x="247650" y="447675"/>
          <a:ext cx="234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571500</xdr:colOff>
      <xdr:row>1</xdr:row>
      <xdr:rowOff>123824</xdr:rowOff>
    </xdr:from>
    <xdr:to>
      <xdr:col>5</xdr:col>
      <xdr:colOff>454050</xdr:colOff>
      <xdr:row>3</xdr:row>
      <xdr:rowOff>66824</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314700" y="447674"/>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0</xdr:col>
      <xdr:colOff>352425</xdr:colOff>
      <xdr:row>15</xdr:row>
      <xdr:rowOff>66675</xdr:rowOff>
    </xdr:from>
    <xdr:to>
      <xdr:col>1</xdr:col>
      <xdr:colOff>403425</xdr:colOff>
      <xdr:row>17</xdr:row>
      <xdr:rowOff>117675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3390900"/>
          <a:ext cx="432000" cy="432000"/>
        </a:xfrm>
        <a:prstGeom prst="rect">
          <a:avLst/>
        </a:prstGeom>
      </xdr:spPr>
    </xdr:pic>
    <xdr:clientData/>
  </xdr:twoCellAnchor>
  <xdr:twoCellAnchor>
    <xdr:from>
      <xdr:col>8</xdr:col>
      <xdr:colOff>114300</xdr:colOff>
      <xdr:row>1</xdr:row>
      <xdr:rowOff>104775</xdr:rowOff>
    </xdr:from>
    <xdr:to>
      <xdr:col>8</xdr:col>
      <xdr:colOff>561975</xdr:colOff>
      <xdr:row>3</xdr:row>
      <xdr:rowOff>76200</xdr:rowOff>
    </xdr:to>
    <xdr:sp macro="" textlink="">
      <xdr:nvSpPr>
        <xdr:cNvPr id="6" name="Up Arrow 5">
          <a:hlinkClick xmlns:r="http://schemas.openxmlformats.org/officeDocument/2006/relationships" r:id="rId4" tooltip="Back to top"/>
        </xdr:cNvPr>
        <xdr:cNvSpPr/>
      </xdr:nvSpPr>
      <xdr:spPr>
        <a:xfrm>
          <a:off x="8886825" y="428625"/>
          <a:ext cx="447675"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685801</xdr:colOff>
      <xdr:row>0</xdr:row>
      <xdr:rowOff>47625</xdr:rowOff>
    </xdr:from>
    <xdr:to>
      <xdr:col>16</xdr:col>
      <xdr:colOff>526576</xdr:colOff>
      <xdr:row>0</xdr:row>
      <xdr:rowOff>335625</xdr:rowOff>
    </xdr:to>
    <xdr:sp macro="" textlink="">
      <xdr:nvSpPr>
        <xdr:cNvPr id="6" name="Rectangle à coins arrondis 2">
          <a:hlinkClick xmlns:r="http://schemas.openxmlformats.org/officeDocument/2006/relationships" r:id="rId1" tooltip="Scorecard"/>
        </xdr:cNvPr>
        <xdr:cNvSpPr>
          <a:spLocks noChangeArrowheads="1"/>
        </xdr:cNvSpPr>
      </xdr:nvSpPr>
      <xdr:spPr bwMode="auto">
        <a:xfrm>
          <a:off x="11201401"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Scorecard</a:t>
          </a:r>
        </a:p>
      </xdr:txBody>
    </xdr:sp>
    <xdr:clientData/>
  </xdr:twoCellAnchor>
  <xdr:twoCellAnchor>
    <xdr:from>
      <xdr:col>14</xdr:col>
      <xdr:colOff>691624</xdr:colOff>
      <xdr:row>0</xdr:row>
      <xdr:rowOff>47625</xdr:rowOff>
    </xdr:from>
    <xdr:to>
      <xdr:col>15</xdr:col>
      <xdr:colOff>532399</xdr:colOff>
      <xdr:row>0</xdr:row>
      <xdr:rowOff>335625</xdr:rowOff>
    </xdr:to>
    <xdr:sp macro="" textlink="">
      <xdr:nvSpPr>
        <xdr:cNvPr id="7" name="Rectangle à coins arrondis 2">
          <a:hlinkClick xmlns:r="http://schemas.openxmlformats.org/officeDocument/2006/relationships" r:id="rId2" tooltip="Instructions"/>
        </xdr:cNvPr>
        <xdr:cNvSpPr>
          <a:spLocks noChangeArrowheads="1"/>
        </xdr:cNvSpPr>
      </xdr:nvSpPr>
      <xdr:spPr bwMode="auto">
        <a:xfrm>
          <a:off x="9787999"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anose="020B0604020202020204" pitchFamily="34" charset="0"/>
              <a:cs typeface="Arial" panose="020B0604020202020204" pitchFamily="34" charset="0"/>
            </a:rPr>
            <a:t>Instructions</a:t>
          </a:r>
        </a:p>
      </xdr:txBody>
    </xdr:sp>
    <xdr:clientData/>
  </xdr:twoCellAnchor>
  <xdr:twoCellAnchor>
    <xdr:from>
      <xdr:col>12</xdr:col>
      <xdr:colOff>523875</xdr:colOff>
      <xdr:row>0</xdr:row>
      <xdr:rowOff>47625</xdr:rowOff>
    </xdr:from>
    <xdr:to>
      <xdr:col>14</xdr:col>
      <xdr:colOff>555150</xdr:colOff>
      <xdr:row>0</xdr:row>
      <xdr:rowOff>335625</xdr:rowOff>
    </xdr:to>
    <xdr:sp macro="" textlink="">
      <xdr:nvSpPr>
        <xdr:cNvPr id="8" name="Rectangle à coins arrondis 2">
          <a:hlinkClick xmlns:r="http://schemas.openxmlformats.org/officeDocument/2006/relationships" r:id="rId3" tooltip="Introduction"/>
        </xdr:cNvPr>
        <xdr:cNvSpPr>
          <a:spLocks noChangeArrowheads="1"/>
        </xdr:cNvSpPr>
      </xdr:nvSpPr>
      <xdr:spPr bwMode="auto">
        <a:xfrm>
          <a:off x="8391525"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anose="020B0604020202020204" pitchFamily="34" charset="0"/>
              <a:cs typeface="Arial" panose="020B0604020202020204" pitchFamily="34" charset="0"/>
            </a:rPr>
            <a:t>Introduction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76201</xdr:colOff>
      <xdr:row>41</xdr:row>
      <xdr:rowOff>19050</xdr:rowOff>
    </xdr:from>
    <xdr:to>
      <xdr:col>12</xdr:col>
      <xdr:colOff>587401</xdr:colOff>
      <xdr:row>41</xdr:row>
      <xdr:rowOff>271050</xdr:rowOff>
    </xdr:to>
    <xdr:sp macro="" textlink="">
      <xdr:nvSpPr>
        <xdr:cNvPr id="9" name="Rectangle à coins arrondis 2">
          <a:hlinkClick xmlns:r="http://schemas.openxmlformats.org/officeDocument/2006/relationships" r:id="rId1" tooltip="Provisional Certification checklist"/>
        </xdr:cNvPr>
        <xdr:cNvSpPr>
          <a:spLocks noChangeArrowheads="1"/>
        </xdr:cNvSpPr>
      </xdr:nvSpPr>
      <xdr:spPr bwMode="auto">
        <a:xfrm>
          <a:off x="5457826" y="9848850"/>
          <a:ext cx="2340000" cy="252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FFA500"/>
              </a:solidFill>
              <a:latin typeface="Arial" panose="020B0604020202020204" pitchFamily="34" charset="0"/>
              <a:cs typeface="Arial" panose="020B0604020202020204" pitchFamily="34" charset="0"/>
            </a:rPr>
            <a:t>Provisional Certification checklist</a:t>
          </a:r>
        </a:p>
      </xdr:txBody>
    </xdr:sp>
    <xdr:clientData/>
  </xdr:twoCellAnchor>
  <xdr:twoCellAnchor>
    <xdr:from>
      <xdr:col>14</xdr:col>
      <xdr:colOff>419101</xdr:colOff>
      <xdr:row>0</xdr:row>
      <xdr:rowOff>38100</xdr:rowOff>
    </xdr:from>
    <xdr:to>
      <xdr:col>16</xdr:col>
      <xdr:colOff>459901</xdr:colOff>
      <xdr:row>0</xdr:row>
      <xdr:rowOff>326100</xdr:rowOff>
    </xdr:to>
    <xdr:sp macro="" textlink="">
      <xdr:nvSpPr>
        <xdr:cNvPr id="10" name="Rectangle à coins arrondis 2">
          <a:hlinkClick xmlns:r="http://schemas.openxmlformats.org/officeDocument/2006/relationships" r:id="rId2" tooltip="Scorecard"/>
        </xdr:cNvPr>
        <xdr:cNvSpPr>
          <a:spLocks noChangeArrowheads="1"/>
        </xdr:cNvSpPr>
      </xdr:nvSpPr>
      <xdr:spPr bwMode="auto">
        <a:xfrm>
          <a:off x="87915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12</xdr:col>
      <xdr:colOff>224899</xdr:colOff>
      <xdr:row>0</xdr:row>
      <xdr:rowOff>38100</xdr:rowOff>
    </xdr:from>
    <xdr:to>
      <xdr:col>14</xdr:col>
      <xdr:colOff>265699</xdr:colOff>
      <xdr:row>0</xdr:row>
      <xdr:rowOff>326100</xdr:rowOff>
    </xdr:to>
    <xdr:sp macro="" textlink="">
      <xdr:nvSpPr>
        <xdr:cNvPr id="11" name="Rectangle à coins arrondis 2">
          <a:hlinkClick xmlns:r="http://schemas.openxmlformats.org/officeDocument/2006/relationships" r:id="rId3" tooltip="Instructions"/>
        </xdr:cNvPr>
        <xdr:cNvSpPr>
          <a:spLocks noChangeArrowheads="1"/>
        </xdr:cNvSpPr>
      </xdr:nvSpPr>
      <xdr:spPr bwMode="auto">
        <a:xfrm>
          <a:off x="737817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10</xdr:col>
      <xdr:colOff>47625</xdr:colOff>
      <xdr:row>0</xdr:row>
      <xdr:rowOff>38100</xdr:rowOff>
    </xdr:from>
    <xdr:to>
      <xdr:col>12</xdr:col>
      <xdr:colOff>88425</xdr:colOff>
      <xdr:row>0</xdr:row>
      <xdr:rowOff>326100</xdr:rowOff>
    </xdr:to>
    <xdr:sp macro="" textlink="">
      <xdr:nvSpPr>
        <xdr:cNvPr id="12" name="Rectangle à coins arrondis 2">
          <a:hlinkClick xmlns:r="http://schemas.openxmlformats.org/officeDocument/2006/relationships" r:id="rId4" tooltip="Introduction"/>
        </xdr:cNvPr>
        <xdr:cNvSpPr>
          <a:spLocks noChangeArrowheads="1"/>
        </xdr:cNvSpPr>
      </xdr:nvSpPr>
      <xdr:spPr bwMode="auto">
        <a:xfrm>
          <a:off x="598170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twoCellAnchor>
    <xdr:from>
      <xdr:col>13</xdr:col>
      <xdr:colOff>76200</xdr:colOff>
      <xdr:row>41</xdr:row>
      <xdr:rowOff>19050</xdr:rowOff>
    </xdr:from>
    <xdr:to>
      <xdr:col>16</xdr:col>
      <xdr:colOff>551400</xdr:colOff>
      <xdr:row>41</xdr:row>
      <xdr:rowOff>271050</xdr:rowOff>
    </xdr:to>
    <xdr:sp macro="" textlink="">
      <xdr:nvSpPr>
        <xdr:cNvPr id="13" name="Rectangle à coins arrondis 2">
          <a:hlinkClick xmlns:r="http://schemas.openxmlformats.org/officeDocument/2006/relationships" r:id="rId5" tooltip="Full Certification checklist"/>
        </xdr:cNvPr>
        <xdr:cNvSpPr>
          <a:spLocks noChangeArrowheads="1"/>
        </xdr:cNvSpPr>
      </xdr:nvSpPr>
      <xdr:spPr bwMode="auto">
        <a:xfrm>
          <a:off x="7896225" y="9848850"/>
          <a:ext cx="2304000" cy="252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FFA500"/>
              </a:solidFill>
              <a:latin typeface="Arial" panose="020B0604020202020204" pitchFamily="34" charset="0"/>
              <a:cs typeface="Arial" panose="020B0604020202020204" pitchFamily="34" charset="0"/>
            </a:rPr>
            <a:t>Full Certification checklist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561976</xdr:colOff>
      <xdr:row>0</xdr:row>
      <xdr:rowOff>57150</xdr:rowOff>
    </xdr:from>
    <xdr:to>
      <xdr:col>10</xdr:col>
      <xdr:colOff>707551</xdr:colOff>
      <xdr:row>0</xdr:row>
      <xdr:rowOff>345150</xdr:rowOff>
    </xdr:to>
    <xdr:sp macro="" textlink="">
      <xdr:nvSpPr>
        <xdr:cNvPr id="10" name="Rectangle à coins arrondis 2">
          <a:hlinkClick xmlns:r="http://schemas.openxmlformats.org/officeDocument/2006/relationships" r:id="rId1" tooltip="Scorecard"/>
        </xdr:cNvPr>
        <xdr:cNvSpPr>
          <a:spLocks noChangeArrowheads="1"/>
        </xdr:cNvSpPr>
      </xdr:nvSpPr>
      <xdr:spPr bwMode="auto">
        <a:xfrm>
          <a:off x="10134601"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8</xdr:col>
      <xdr:colOff>253474</xdr:colOff>
      <xdr:row>0</xdr:row>
      <xdr:rowOff>57150</xdr:rowOff>
    </xdr:from>
    <xdr:to>
      <xdr:col>9</xdr:col>
      <xdr:colOff>408574</xdr:colOff>
      <xdr:row>0</xdr:row>
      <xdr:rowOff>345150</xdr:rowOff>
    </xdr:to>
    <xdr:sp macro="" textlink="">
      <xdr:nvSpPr>
        <xdr:cNvPr id="11" name="Rectangle à coins arrondis 2">
          <a:hlinkClick xmlns:r="http://schemas.openxmlformats.org/officeDocument/2006/relationships" r:id="rId2" tooltip="Instructions"/>
        </xdr:cNvPr>
        <xdr:cNvSpPr>
          <a:spLocks noChangeArrowheads="1"/>
        </xdr:cNvSpPr>
      </xdr:nvSpPr>
      <xdr:spPr bwMode="auto">
        <a:xfrm>
          <a:off x="8721199"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6</xdr:col>
      <xdr:colOff>1009650</xdr:colOff>
      <xdr:row>0</xdr:row>
      <xdr:rowOff>57150</xdr:rowOff>
    </xdr:from>
    <xdr:to>
      <xdr:col>8</xdr:col>
      <xdr:colOff>117000</xdr:colOff>
      <xdr:row>0</xdr:row>
      <xdr:rowOff>345150</xdr:rowOff>
    </xdr:to>
    <xdr:sp macro="" textlink="">
      <xdr:nvSpPr>
        <xdr:cNvPr id="12" name="Rectangle à coins arrondis 2">
          <a:hlinkClick xmlns:r="http://schemas.openxmlformats.org/officeDocument/2006/relationships" r:id="rId3" tooltip="Introduction"/>
        </xdr:cNvPr>
        <xdr:cNvSpPr>
          <a:spLocks noChangeArrowheads="1"/>
        </xdr:cNvSpPr>
      </xdr:nvSpPr>
      <xdr:spPr bwMode="auto">
        <a:xfrm>
          <a:off x="7324725"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180975</xdr:colOff>
      <xdr:row>1</xdr:row>
      <xdr:rowOff>28575</xdr:rowOff>
    </xdr:from>
    <xdr:to>
      <xdr:col>1</xdr:col>
      <xdr:colOff>300750</xdr:colOff>
      <xdr:row>2</xdr:row>
      <xdr:rowOff>195975</xdr:rowOff>
    </xdr:to>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447675"/>
          <a:ext cx="396000" cy="396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495935</xdr:colOff>
      <xdr:row>90</xdr:row>
      <xdr:rowOff>104775</xdr:rowOff>
    </xdr:from>
    <xdr:to>
      <xdr:col>16</xdr:col>
      <xdr:colOff>180975</xdr:colOff>
      <xdr:row>101</xdr:row>
      <xdr:rowOff>169275</xdr:rowOff>
    </xdr:to>
    <xdr:pic>
      <xdr:nvPicPr>
        <xdr:cNvPr id="15" name="Picture 14" descr="H3-Daylight Control.jpg"/>
        <xdr:cNvPicPr/>
      </xdr:nvPicPr>
      <xdr:blipFill>
        <a:blip xmlns:r="http://schemas.openxmlformats.org/officeDocument/2006/relationships" r:embed="rId1" cstate="print"/>
        <a:stretch>
          <a:fillRect/>
        </a:stretch>
      </xdr:blipFill>
      <xdr:spPr>
        <a:xfrm>
          <a:off x="3991610" y="9867900"/>
          <a:ext cx="5781040" cy="2160000"/>
        </a:xfrm>
        <a:prstGeom prst="rect">
          <a:avLst/>
        </a:prstGeom>
      </xdr:spPr>
    </xdr:pic>
    <xdr:clientData/>
  </xdr:twoCellAnchor>
  <xdr:twoCellAnchor>
    <xdr:from>
      <xdr:col>14</xdr:col>
      <xdr:colOff>161925</xdr:colOff>
      <xdr:row>87</xdr:row>
      <xdr:rowOff>38100</xdr:rowOff>
    </xdr:from>
    <xdr:to>
      <xdr:col>16</xdr:col>
      <xdr:colOff>562725</xdr:colOff>
      <xdr:row>88</xdr:row>
      <xdr:rowOff>85875</xdr:rowOff>
    </xdr:to>
    <xdr:sp macro="" textlink="">
      <xdr:nvSpPr>
        <xdr:cNvPr id="16" name="Rectangle à coins arrondis 2">
          <a:hlinkClick xmlns:r="http://schemas.openxmlformats.org/officeDocument/2006/relationships" r:id="rId2" tooltip="H-7"/>
        </xdr:cNvPr>
        <xdr:cNvSpPr>
          <a:spLocks noChangeArrowheads="1"/>
        </xdr:cNvSpPr>
      </xdr:nvSpPr>
      <xdr:spPr bwMode="auto">
        <a:xfrm>
          <a:off x="8496300" y="9105900"/>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H-7</a:t>
          </a:r>
        </a:p>
      </xdr:txBody>
    </xdr:sp>
    <xdr:clientData/>
  </xdr:twoCellAnchor>
  <xdr:twoCellAnchor>
    <xdr:from>
      <xdr:col>14</xdr:col>
      <xdr:colOff>9525</xdr:colOff>
      <xdr:row>72</xdr:row>
      <xdr:rowOff>28575</xdr:rowOff>
    </xdr:from>
    <xdr:to>
      <xdr:col>16</xdr:col>
      <xdr:colOff>410325</xdr:colOff>
      <xdr:row>73</xdr:row>
      <xdr:rowOff>47775</xdr:rowOff>
    </xdr:to>
    <xdr:sp macro="" textlink="">
      <xdr:nvSpPr>
        <xdr:cNvPr id="14" name="Rectangle à coins arrondis 2">
          <a:hlinkClick xmlns:r="http://schemas.openxmlformats.org/officeDocument/2006/relationships" r:id="rId3" tooltip="H-4"/>
        </xdr:cNvPr>
        <xdr:cNvSpPr>
          <a:spLocks noChangeArrowheads="1"/>
        </xdr:cNvSpPr>
      </xdr:nvSpPr>
      <xdr:spPr bwMode="auto">
        <a:xfrm>
          <a:off x="8382000" y="9134475"/>
          <a:ext cx="1620000" cy="324000"/>
        </a:xfrm>
        <a:prstGeom prst="roundRect">
          <a:avLst>
            <a:gd name="adj" fmla="val 16667"/>
          </a:avLst>
        </a:prstGeom>
        <a:solidFill>
          <a:srgbClr val="4A562A"/>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WP-1</a:t>
          </a:r>
        </a:p>
      </xdr:txBody>
    </xdr:sp>
    <xdr:clientData/>
  </xdr:twoCellAnchor>
  <xdr:twoCellAnchor editAs="oneCell">
    <xdr:from>
      <xdr:col>6</xdr:col>
      <xdr:colOff>523874</xdr:colOff>
      <xdr:row>75</xdr:row>
      <xdr:rowOff>171450</xdr:rowOff>
    </xdr:from>
    <xdr:to>
      <xdr:col>13</xdr:col>
      <xdr:colOff>295275</xdr:colOff>
      <xdr:row>84</xdr:row>
      <xdr:rowOff>142875</xdr:rowOff>
    </xdr:to>
    <xdr:pic>
      <xdr:nvPicPr>
        <xdr:cNvPr id="18" name="Picture 1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783" t="800" r="14785" b="14800"/>
        <a:stretch/>
      </xdr:blipFill>
      <xdr:spPr bwMode="auto">
        <a:xfrm>
          <a:off x="4019549" y="10115550"/>
          <a:ext cx="4038601"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209549</xdr:colOff>
      <xdr:row>76</xdr:row>
      <xdr:rowOff>57150</xdr:rowOff>
    </xdr:from>
    <xdr:to>
      <xdr:col>5</xdr:col>
      <xdr:colOff>352425</xdr:colOff>
      <xdr:row>83</xdr:row>
      <xdr:rowOff>95250</xdr:rowOff>
    </xdr:to>
    <xdr:pic>
      <xdr:nvPicPr>
        <xdr:cNvPr id="20" name="Picture 19"/>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090" t="474" r="20764" b="15640"/>
        <a:stretch/>
      </xdr:blipFill>
      <xdr:spPr bwMode="auto">
        <a:xfrm>
          <a:off x="209549" y="10201275"/>
          <a:ext cx="3219451"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438151</xdr:colOff>
      <xdr:row>0</xdr:row>
      <xdr:rowOff>38100</xdr:rowOff>
    </xdr:from>
    <xdr:to>
      <xdr:col>16</xdr:col>
      <xdr:colOff>478951</xdr:colOff>
      <xdr:row>0</xdr:row>
      <xdr:rowOff>326100</xdr:rowOff>
    </xdr:to>
    <xdr:sp macro="" textlink="">
      <xdr:nvSpPr>
        <xdr:cNvPr id="9" name="Rectangle à coins arrondis 2">
          <a:hlinkClick xmlns:r="http://schemas.openxmlformats.org/officeDocument/2006/relationships" r:id="rId6" tooltip="Scorecard"/>
        </xdr:cNvPr>
        <xdr:cNvSpPr>
          <a:spLocks noChangeArrowheads="1"/>
        </xdr:cNvSpPr>
      </xdr:nvSpPr>
      <xdr:spPr bwMode="auto">
        <a:xfrm>
          <a:off x="881062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itchFamily="34" charset="0"/>
              <a:cs typeface="Arial" pitchFamily="34" charset="0"/>
            </a:rPr>
            <a:t>Scorecard</a:t>
          </a:r>
        </a:p>
      </xdr:txBody>
    </xdr:sp>
    <xdr:clientData/>
  </xdr:twoCellAnchor>
  <xdr:twoCellAnchor>
    <xdr:from>
      <xdr:col>12</xdr:col>
      <xdr:colOff>243949</xdr:colOff>
      <xdr:row>0</xdr:row>
      <xdr:rowOff>38100</xdr:rowOff>
    </xdr:from>
    <xdr:to>
      <xdr:col>14</xdr:col>
      <xdr:colOff>284749</xdr:colOff>
      <xdr:row>0</xdr:row>
      <xdr:rowOff>326100</xdr:rowOff>
    </xdr:to>
    <xdr:sp macro="" textlink="">
      <xdr:nvSpPr>
        <xdr:cNvPr id="10" name="Rectangle à coins arrondis 2">
          <a:hlinkClick xmlns:r="http://schemas.openxmlformats.org/officeDocument/2006/relationships" r:id="rId7" tooltip="Instructions"/>
        </xdr:cNvPr>
        <xdr:cNvSpPr>
          <a:spLocks noChangeArrowheads="1"/>
        </xdr:cNvSpPr>
      </xdr:nvSpPr>
      <xdr:spPr bwMode="auto">
        <a:xfrm>
          <a:off x="739722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anose="020B0604020202020204" pitchFamily="34" charset="0"/>
              <a:cs typeface="Arial" panose="020B0604020202020204" pitchFamily="34" charset="0"/>
            </a:rPr>
            <a:t>Instructions</a:t>
          </a:r>
        </a:p>
      </xdr:txBody>
    </xdr:sp>
    <xdr:clientData/>
  </xdr:twoCellAnchor>
  <xdr:twoCellAnchor>
    <xdr:from>
      <xdr:col>10</xdr:col>
      <xdr:colOff>66675</xdr:colOff>
      <xdr:row>0</xdr:row>
      <xdr:rowOff>38100</xdr:rowOff>
    </xdr:from>
    <xdr:to>
      <xdr:col>12</xdr:col>
      <xdr:colOff>107475</xdr:colOff>
      <xdr:row>0</xdr:row>
      <xdr:rowOff>326100</xdr:rowOff>
    </xdr:to>
    <xdr:sp macro="" textlink="">
      <xdr:nvSpPr>
        <xdr:cNvPr id="11" name="Rectangle à coins arrondis 2">
          <a:hlinkClick xmlns:r="http://schemas.openxmlformats.org/officeDocument/2006/relationships" r:id="rId8" tooltip="Introduction"/>
        </xdr:cNvPr>
        <xdr:cNvSpPr>
          <a:spLocks noChangeArrowheads="1"/>
        </xdr:cNvSpPr>
      </xdr:nvSpPr>
      <xdr:spPr bwMode="auto">
        <a:xfrm>
          <a:off x="600075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500"/>
              </a:solidFill>
              <a:latin typeface="Arial" panose="020B0604020202020204" pitchFamily="34" charset="0"/>
              <a:cs typeface="Arial" panose="020B0604020202020204" pitchFamily="34" charset="0"/>
            </a:rPr>
            <a:t>Introduction</a:t>
          </a:r>
        </a:p>
      </xdr:txBody>
    </xdr:sp>
    <xdr:clientData/>
  </xdr:twoCellAnchor>
  <xdr:twoCellAnchor>
    <xdr:from>
      <xdr:col>14</xdr:col>
      <xdr:colOff>9525</xdr:colOff>
      <xdr:row>1</xdr:row>
      <xdr:rowOff>257175</xdr:rowOff>
    </xdr:from>
    <xdr:to>
      <xdr:col>16</xdr:col>
      <xdr:colOff>410325</xdr:colOff>
      <xdr:row>3</xdr:row>
      <xdr:rowOff>9675</xdr:rowOff>
    </xdr:to>
    <xdr:sp macro="" textlink="">
      <xdr:nvSpPr>
        <xdr:cNvPr id="12" name="Rectangle à coins arrondis 2">
          <a:hlinkClick xmlns:r="http://schemas.openxmlformats.org/officeDocument/2006/relationships" r:id="rId9" tooltip="H-4"/>
        </xdr:cNvPr>
        <xdr:cNvSpPr>
          <a:spLocks noChangeArrowheads="1"/>
        </xdr:cNvSpPr>
      </xdr:nvSpPr>
      <xdr:spPr bwMode="auto">
        <a:xfrm>
          <a:off x="8572500" y="638175"/>
          <a:ext cx="162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W-1</a:t>
          </a:r>
        </a:p>
      </xdr:txBody>
    </xdr:sp>
    <xdr:clientData/>
  </xdr:twoCellAnchor>
  <xdr:twoCellAnchor>
    <xdr:from>
      <xdr:col>14</xdr:col>
      <xdr:colOff>161925</xdr:colOff>
      <xdr:row>114</xdr:row>
      <xdr:rowOff>38100</xdr:rowOff>
    </xdr:from>
    <xdr:to>
      <xdr:col>16</xdr:col>
      <xdr:colOff>562725</xdr:colOff>
      <xdr:row>115</xdr:row>
      <xdr:rowOff>85875</xdr:rowOff>
    </xdr:to>
    <xdr:sp macro="" textlink="">
      <xdr:nvSpPr>
        <xdr:cNvPr id="13" name="Rectangle à coins arrondis 2">
          <a:hlinkClick xmlns:r="http://schemas.openxmlformats.org/officeDocument/2006/relationships" r:id="rId10" tooltip="H-9"/>
        </xdr:cNvPr>
        <xdr:cNvSpPr>
          <a:spLocks noChangeArrowheads="1"/>
        </xdr:cNvSpPr>
      </xdr:nvSpPr>
      <xdr:spPr bwMode="auto">
        <a:xfrm>
          <a:off x="8724900" y="26641425"/>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H-9</a:t>
          </a:r>
        </a:p>
      </xdr:txBody>
    </xdr:sp>
    <xdr:clientData/>
  </xdr:twoCellAnchor>
  <xdr:twoCellAnchor>
    <xdr:from>
      <xdr:col>14</xdr:col>
      <xdr:colOff>161925</xdr:colOff>
      <xdr:row>200</xdr:row>
      <xdr:rowOff>38100</xdr:rowOff>
    </xdr:from>
    <xdr:to>
      <xdr:col>16</xdr:col>
      <xdr:colOff>562725</xdr:colOff>
      <xdr:row>201</xdr:row>
      <xdr:rowOff>85875</xdr:rowOff>
    </xdr:to>
    <xdr:sp macro="" textlink="">
      <xdr:nvSpPr>
        <xdr:cNvPr id="19" name="Rectangle à coins arrondis 2">
          <a:hlinkClick xmlns:r="http://schemas.openxmlformats.org/officeDocument/2006/relationships" r:id="rId11" tooltip="H-11"/>
        </xdr:cNvPr>
        <xdr:cNvSpPr>
          <a:spLocks noChangeArrowheads="1"/>
        </xdr:cNvSpPr>
      </xdr:nvSpPr>
      <xdr:spPr bwMode="auto">
        <a:xfrm>
          <a:off x="8724900" y="36471225"/>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H-11</a:t>
          </a:r>
        </a:p>
      </xdr:txBody>
    </xdr:sp>
    <xdr:clientData/>
  </xdr:twoCellAnchor>
  <xdr:twoCellAnchor>
    <xdr:from>
      <xdr:col>14</xdr:col>
      <xdr:colOff>161925</xdr:colOff>
      <xdr:row>136</xdr:row>
      <xdr:rowOff>38100</xdr:rowOff>
    </xdr:from>
    <xdr:to>
      <xdr:col>16</xdr:col>
      <xdr:colOff>562725</xdr:colOff>
      <xdr:row>137</xdr:row>
      <xdr:rowOff>85875</xdr:rowOff>
    </xdr:to>
    <xdr:sp macro="" textlink="">
      <xdr:nvSpPr>
        <xdr:cNvPr id="21" name="Rectangle à coins arrondis 2">
          <a:hlinkClick xmlns:r="http://schemas.openxmlformats.org/officeDocument/2006/relationships" r:id="rId12" tooltip="H-10"/>
        </xdr:cNvPr>
        <xdr:cNvSpPr>
          <a:spLocks noChangeArrowheads="1"/>
        </xdr:cNvSpPr>
      </xdr:nvSpPr>
      <xdr:spPr bwMode="auto">
        <a:xfrm>
          <a:off x="8724900" y="32680275"/>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H-10</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685801</xdr:colOff>
      <xdr:row>0</xdr:row>
      <xdr:rowOff>28575</xdr:rowOff>
    </xdr:from>
    <xdr:to>
      <xdr:col>15</xdr:col>
      <xdr:colOff>526576</xdr:colOff>
      <xdr:row>0</xdr:row>
      <xdr:rowOff>316575</xdr:rowOff>
    </xdr:to>
    <xdr:sp macro="" textlink="">
      <xdr:nvSpPr>
        <xdr:cNvPr id="20" name="Rectangle à coins arrondis 2">
          <a:hlinkClick xmlns:r="http://schemas.openxmlformats.org/officeDocument/2006/relationships" r:id="rId1" tooltip="Scorecard"/>
        </xdr:cNvPr>
        <xdr:cNvSpPr>
          <a:spLocks noChangeArrowheads="1"/>
        </xdr:cNvSpPr>
      </xdr:nvSpPr>
      <xdr:spPr bwMode="auto">
        <a:xfrm>
          <a:off x="10487026" y="2857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13</xdr:col>
      <xdr:colOff>691624</xdr:colOff>
      <xdr:row>0</xdr:row>
      <xdr:rowOff>28575</xdr:rowOff>
    </xdr:from>
    <xdr:to>
      <xdr:col>14</xdr:col>
      <xdr:colOff>532399</xdr:colOff>
      <xdr:row>0</xdr:row>
      <xdr:rowOff>316575</xdr:rowOff>
    </xdr:to>
    <xdr:sp macro="" textlink="">
      <xdr:nvSpPr>
        <xdr:cNvPr id="21" name="Rectangle à coins arrondis 2">
          <a:hlinkClick xmlns:r="http://schemas.openxmlformats.org/officeDocument/2006/relationships" r:id="rId2" tooltip="Instructions"/>
        </xdr:cNvPr>
        <xdr:cNvSpPr>
          <a:spLocks noChangeArrowheads="1"/>
        </xdr:cNvSpPr>
      </xdr:nvSpPr>
      <xdr:spPr bwMode="auto">
        <a:xfrm>
          <a:off x="9073624" y="2857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11</xdr:col>
      <xdr:colOff>523875</xdr:colOff>
      <xdr:row>0</xdr:row>
      <xdr:rowOff>28575</xdr:rowOff>
    </xdr:from>
    <xdr:to>
      <xdr:col>13</xdr:col>
      <xdr:colOff>555150</xdr:colOff>
      <xdr:row>0</xdr:row>
      <xdr:rowOff>316575</xdr:rowOff>
    </xdr:to>
    <xdr:sp macro="" textlink="">
      <xdr:nvSpPr>
        <xdr:cNvPr id="22" name="Rectangle à coins arrondis 2">
          <a:hlinkClick xmlns:r="http://schemas.openxmlformats.org/officeDocument/2006/relationships" r:id="rId3" tooltip="Introduction"/>
        </xdr:cNvPr>
        <xdr:cNvSpPr>
          <a:spLocks noChangeArrowheads="1"/>
        </xdr:cNvSpPr>
      </xdr:nvSpPr>
      <xdr:spPr bwMode="auto">
        <a:xfrm>
          <a:off x="7677150" y="2857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mc:AlternateContent xmlns:mc="http://schemas.openxmlformats.org/markup-compatibility/2006">
    <mc:Choice xmlns:a14="http://schemas.microsoft.com/office/drawing/2010/main" Requires="a14">
      <xdr:twoCellAnchor editAs="oneCell">
        <xdr:from>
          <xdr:col>12</xdr:col>
          <xdr:colOff>180975</xdr:colOff>
          <xdr:row>24</xdr:row>
          <xdr:rowOff>0</xdr:rowOff>
        </xdr:from>
        <xdr:to>
          <xdr:col>12</xdr:col>
          <xdr:colOff>485775</xdr:colOff>
          <xdr:row>24</xdr:row>
          <xdr:rowOff>219075</xdr:rowOff>
        </xdr:to>
        <xdr:sp macro="" textlink="">
          <xdr:nvSpPr>
            <xdr:cNvPr id="167953" name="Check Box 17" hidden="1">
              <a:extLst>
                <a:ext uri="{63B3BB69-23CF-44E3-9099-C40C66FF867C}">
                  <a14:compatExt spid="_x0000_s16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0</xdr:rowOff>
        </xdr:from>
        <xdr:to>
          <xdr:col>6</xdr:col>
          <xdr:colOff>485775</xdr:colOff>
          <xdr:row>24</xdr:row>
          <xdr:rowOff>219075</xdr:rowOff>
        </xdr:to>
        <xdr:sp macro="" textlink="">
          <xdr:nvSpPr>
            <xdr:cNvPr id="167954" name="Check Box 18" hidden="1">
              <a:extLst>
                <a:ext uri="{63B3BB69-23CF-44E3-9099-C40C66FF867C}">
                  <a14:compatExt spid="_x0000_s16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1047750</xdr:colOff>
      <xdr:row>27</xdr:row>
      <xdr:rowOff>85725</xdr:rowOff>
    </xdr:from>
    <xdr:to>
      <xdr:col>13</xdr:col>
      <xdr:colOff>435975</xdr:colOff>
      <xdr:row>29</xdr:row>
      <xdr:rowOff>28725</xdr:rowOff>
    </xdr:to>
    <xdr:sp macro="" textlink="">
      <xdr:nvSpPr>
        <xdr:cNvPr id="9" name="Rectangle à coins arrondis 3">
          <a:hlinkClick xmlns:r="http://schemas.openxmlformats.org/officeDocument/2006/relationships" r:id="rId4" tooltip="Go to Materials"/>
        </xdr:cNvPr>
        <xdr:cNvSpPr>
          <a:spLocks noChangeArrowheads="1"/>
        </xdr:cNvSpPr>
      </xdr:nvSpPr>
      <xdr:spPr bwMode="auto">
        <a:xfrm>
          <a:off x="6781800" y="4057650"/>
          <a:ext cx="20361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Go to Materials</a:t>
          </a:r>
        </a:p>
      </xdr:txBody>
    </xdr:sp>
    <xdr:clientData/>
  </xdr:twoCellAnchor>
  <xdr:twoCellAnchor>
    <xdr:from>
      <xdr:col>12</xdr:col>
      <xdr:colOff>514350</xdr:colOff>
      <xdr:row>21</xdr:row>
      <xdr:rowOff>66676</xdr:rowOff>
    </xdr:from>
    <xdr:to>
      <xdr:col>13</xdr:col>
      <xdr:colOff>1382850</xdr:colOff>
      <xdr:row>23</xdr:row>
      <xdr:rowOff>9676</xdr:rowOff>
    </xdr:to>
    <xdr:sp macro="" textlink="">
      <xdr:nvSpPr>
        <xdr:cNvPr id="10" name="Rectangle à coins arrondis 2">
          <a:hlinkClick xmlns:r="http://schemas.openxmlformats.org/officeDocument/2006/relationships" r:id="rId5" tooltip="E-1"/>
        </xdr:cNvPr>
        <xdr:cNvSpPr>
          <a:spLocks noChangeArrowheads="1"/>
        </xdr:cNvSpPr>
      </xdr:nvSpPr>
      <xdr:spPr bwMode="auto">
        <a:xfrm>
          <a:off x="8324850" y="2857501"/>
          <a:ext cx="144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Credit E-1</a:t>
          </a:r>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171450</xdr:rowOff>
        </xdr:from>
        <xdr:to>
          <xdr:col>3</xdr:col>
          <xdr:colOff>495300</xdr:colOff>
          <xdr:row>17</xdr:row>
          <xdr:rowOff>9525</xdr:rowOff>
        </xdr:to>
        <xdr:sp macro="" textlink="">
          <xdr:nvSpPr>
            <xdr:cNvPr id="167957" name="Check Box 21" hidden="1">
              <a:extLst>
                <a:ext uri="{63B3BB69-23CF-44E3-9099-C40C66FF867C}">
                  <a14:compatExt spid="_x0000_s16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171450</xdr:rowOff>
        </xdr:from>
        <xdr:to>
          <xdr:col>7</xdr:col>
          <xdr:colOff>495300</xdr:colOff>
          <xdr:row>17</xdr:row>
          <xdr:rowOff>9525</xdr:rowOff>
        </xdr:to>
        <xdr:sp macro="" textlink="">
          <xdr:nvSpPr>
            <xdr:cNvPr id="167958" name="Check Box 22" hidden="1">
              <a:extLst>
                <a:ext uri="{63B3BB69-23CF-44E3-9099-C40C66FF867C}">
                  <a14:compatExt spid="_x0000_s16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27</xdr:row>
          <xdr:rowOff>171450</xdr:rowOff>
        </xdr:from>
        <xdr:to>
          <xdr:col>3</xdr:col>
          <xdr:colOff>495300</xdr:colOff>
          <xdr:row>29</xdr:row>
          <xdr:rowOff>9525</xdr:rowOff>
        </xdr:to>
        <xdr:sp macro="" textlink="">
          <xdr:nvSpPr>
            <xdr:cNvPr id="167959" name="Check Box 23" hidden="1">
              <a:extLst>
                <a:ext uri="{63B3BB69-23CF-44E3-9099-C40C66FF867C}">
                  <a14:compatExt spid="_x0000_s16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171450</xdr:rowOff>
        </xdr:from>
        <xdr:to>
          <xdr:col>7</xdr:col>
          <xdr:colOff>495300</xdr:colOff>
          <xdr:row>29</xdr:row>
          <xdr:rowOff>9525</xdr:rowOff>
        </xdr:to>
        <xdr:sp macro="" textlink="">
          <xdr:nvSpPr>
            <xdr:cNvPr id="167960" name="Check Box 24" hidden="1">
              <a:extLst>
                <a:ext uri="{63B3BB69-23CF-44E3-9099-C40C66FF867C}">
                  <a14:compatExt spid="_x0000_s167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419100</xdr:colOff>
      <xdr:row>0</xdr:row>
      <xdr:rowOff>28575</xdr:rowOff>
    </xdr:from>
    <xdr:to>
      <xdr:col>11</xdr:col>
      <xdr:colOff>352200</xdr:colOff>
      <xdr:row>0</xdr:row>
      <xdr:rowOff>352575</xdr:rowOff>
    </xdr:to>
    <xdr:sp macro="" textlink="">
      <xdr:nvSpPr>
        <xdr:cNvPr id="13" name="Rectangle à coins arrondis 2">
          <a:hlinkClick xmlns:r="http://schemas.openxmlformats.org/officeDocument/2006/relationships" r:id="rId6" tooltip="Send feedback to VGBC"/>
        </xdr:cNvPr>
        <xdr:cNvSpPr>
          <a:spLocks noChangeArrowheads="1"/>
        </xdr:cNvSpPr>
      </xdr:nvSpPr>
      <xdr:spPr bwMode="auto">
        <a:xfrm>
          <a:off x="5543550" y="28575"/>
          <a:ext cx="1961925" cy="324000"/>
        </a:xfrm>
        <a:prstGeom prst="roundRect">
          <a:avLst>
            <a:gd name="adj" fmla="val 16667"/>
          </a:avLst>
        </a:prstGeom>
        <a:solidFill>
          <a:schemeClr val="bg1">
            <a:lumMod val="75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ysClr val="windowText" lastClr="000000"/>
              </a:solidFill>
              <a:latin typeface="Arial" panose="020B0604020202020204" pitchFamily="34" charset="0"/>
              <a:cs typeface="Arial" panose="020B0604020202020204" pitchFamily="34" charset="0"/>
            </a:rPr>
            <a:t>Send feedback to VGBC</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590551</xdr:colOff>
      <xdr:row>0</xdr:row>
      <xdr:rowOff>57150</xdr:rowOff>
    </xdr:from>
    <xdr:to>
      <xdr:col>9</xdr:col>
      <xdr:colOff>736126</xdr:colOff>
      <xdr:row>0</xdr:row>
      <xdr:rowOff>345150</xdr:rowOff>
    </xdr:to>
    <xdr:sp macro="" textlink="">
      <xdr:nvSpPr>
        <xdr:cNvPr id="7" name="Rectangle à coins arrondis 2">
          <a:hlinkClick xmlns:r="http://schemas.openxmlformats.org/officeDocument/2006/relationships" r:id="rId1" tooltip="Scorecard"/>
        </xdr:cNvPr>
        <xdr:cNvSpPr>
          <a:spLocks noChangeArrowheads="1"/>
        </xdr:cNvSpPr>
      </xdr:nvSpPr>
      <xdr:spPr bwMode="auto">
        <a:xfrm>
          <a:off x="8905876"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7</xdr:col>
      <xdr:colOff>282049</xdr:colOff>
      <xdr:row>0</xdr:row>
      <xdr:rowOff>57150</xdr:rowOff>
    </xdr:from>
    <xdr:to>
      <xdr:col>8</xdr:col>
      <xdr:colOff>437149</xdr:colOff>
      <xdr:row>0</xdr:row>
      <xdr:rowOff>345150</xdr:rowOff>
    </xdr:to>
    <xdr:sp macro="" textlink="">
      <xdr:nvSpPr>
        <xdr:cNvPr id="8" name="Rectangle à coins arrondis 2">
          <a:hlinkClick xmlns:r="http://schemas.openxmlformats.org/officeDocument/2006/relationships" r:id="rId2" tooltip="Instructions"/>
        </xdr:cNvPr>
        <xdr:cNvSpPr>
          <a:spLocks noChangeArrowheads="1"/>
        </xdr:cNvSpPr>
      </xdr:nvSpPr>
      <xdr:spPr bwMode="auto">
        <a:xfrm>
          <a:off x="7492474"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5</xdr:col>
      <xdr:colOff>1038225</xdr:colOff>
      <xdr:row>0</xdr:row>
      <xdr:rowOff>57150</xdr:rowOff>
    </xdr:from>
    <xdr:to>
      <xdr:col>7</xdr:col>
      <xdr:colOff>145575</xdr:colOff>
      <xdr:row>0</xdr:row>
      <xdr:rowOff>345150</xdr:rowOff>
    </xdr:to>
    <xdr:sp macro="" textlink="">
      <xdr:nvSpPr>
        <xdr:cNvPr id="9" name="Rectangle à coins arrondis 2">
          <a:hlinkClick xmlns:r="http://schemas.openxmlformats.org/officeDocument/2006/relationships" r:id="rId3" tooltip="Introduction"/>
        </xdr:cNvPr>
        <xdr:cNvSpPr>
          <a:spLocks noChangeArrowheads="1"/>
        </xdr:cNvSpPr>
      </xdr:nvSpPr>
      <xdr:spPr bwMode="auto">
        <a:xfrm>
          <a:off x="6096000"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238125</xdr:colOff>
      <xdr:row>1</xdr:row>
      <xdr:rowOff>28575</xdr:rowOff>
    </xdr:from>
    <xdr:to>
      <xdr:col>1</xdr:col>
      <xdr:colOff>357900</xdr:colOff>
      <xdr:row>2</xdr:row>
      <xdr:rowOff>186450</xdr:rowOff>
    </xdr:to>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447675"/>
          <a:ext cx="396000" cy="39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0</xdr:row>
      <xdr:rowOff>0</xdr:rowOff>
    </xdr:from>
    <xdr:to>
      <xdr:col>7</xdr:col>
      <xdr:colOff>165600</xdr:colOff>
      <xdr:row>2</xdr:row>
      <xdr:rowOff>52018</xdr:rowOff>
    </xdr:to>
    <xdr:pic>
      <xdr:nvPicPr>
        <xdr:cNvPr id="2" name="Picture 1" descr="\\VGBC_NAS\VGBC_Network\VGBC Shared\Admin and Communication\Artwork\VGBC Artwork Guidelines\VGBC Artwork Guideline Images\VGBC Logo\VGBC_logo_trans.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15" r="3298"/>
        <a:stretch/>
      </xdr:blipFill>
      <xdr:spPr bwMode="auto">
        <a:xfrm>
          <a:off x="4486275" y="0"/>
          <a:ext cx="1080000" cy="89021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66675</xdr:colOff>
      <xdr:row>24</xdr:row>
      <xdr:rowOff>209550</xdr:rowOff>
    </xdr:from>
    <xdr:to>
      <xdr:col>15</xdr:col>
      <xdr:colOff>495300</xdr:colOff>
      <xdr:row>28</xdr:row>
      <xdr:rowOff>1</xdr:rowOff>
    </xdr:to>
    <xdr:sp macro="" textlink="">
      <xdr:nvSpPr>
        <xdr:cNvPr id="2" name="Rectangle à coins arrondis 2">
          <a:hlinkClick xmlns:r="http://schemas.openxmlformats.org/officeDocument/2006/relationships" r:id="rId1" tooltip="Resources"/>
        </xdr:cNvPr>
        <xdr:cNvSpPr>
          <a:spLocks noChangeArrowheads="1"/>
        </xdr:cNvSpPr>
      </xdr:nvSpPr>
      <xdr:spPr bwMode="auto">
        <a:xfrm>
          <a:off x="7848600" y="5676900"/>
          <a:ext cx="1647825" cy="7048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0</xdr:col>
      <xdr:colOff>209550</xdr:colOff>
      <xdr:row>1</xdr:row>
      <xdr:rowOff>28575</xdr:rowOff>
    </xdr:from>
    <xdr:to>
      <xdr:col>1</xdr:col>
      <xdr:colOff>224550</xdr:colOff>
      <xdr:row>2</xdr:row>
      <xdr:rowOff>195975</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409575"/>
          <a:ext cx="396000" cy="396000"/>
        </a:xfrm>
        <a:prstGeom prst="rect">
          <a:avLst/>
        </a:prstGeom>
      </xdr:spPr>
    </xdr:pic>
    <xdr:clientData/>
  </xdr:twoCellAnchor>
  <xdr:twoCellAnchor>
    <xdr:from>
      <xdr:col>13</xdr:col>
      <xdr:colOff>476251</xdr:colOff>
      <xdr:row>0</xdr:row>
      <xdr:rowOff>38100</xdr:rowOff>
    </xdr:from>
    <xdr:to>
      <xdr:col>15</xdr:col>
      <xdr:colOff>517051</xdr:colOff>
      <xdr:row>0</xdr:row>
      <xdr:rowOff>326100</xdr:rowOff>
    </xdr:to>
    <xdr:sp macro="" textlink="">
      <xdr:nvSpPr>
        <xdr:cNvPr id="8" name="Rectangle à coins arrondis 2">
          <a:hlinkClick xmlns:r="http://schemas.openxmlformats.org/officeDocument/2006/relationships" r:id="rId3" tooltip="Scorecard"/>
        </xdr:cNvPr>
        <xdr:cNvSpPr>
          <a:spLocks noChangeArrowheads="1"/>
        </xdr:cNvSpPr>
      </xdr:nvSpPr>
      <xdr:spPr bwMode="auto">
        <a:xfrm>
          <a:off x="8439151"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11</xdr:col>
      <xdr:colOff>310624</xdr:colOff>
      <xdr:row>0</xdr:row>
      <xdr:rowOff>38100</xdr:rowOff>
    </xdr:from>
    <xdr:to>
      <xdr:col>13</xdr:col>
      <xdr:colOff>351424</xdr:colOff>
      <xdr:row>0</xdr:row>
      <xdr:rowOff>326100</xdr:rowOff>
    </xdr:to>
    <xdr:sp macro="" textlink="">
      <xdr:nvSpPr>
        <xdr:cNvPr id="12" name="Rectangle à coins arrondis 2">
          <a:hlinkClick xmlns:r="http://schemas.openxmlformats.org/officeDocument/2006/relationships" r:id="rId4" tooltip="Instructions"/>
        </xdr:cNvPr>
        <xdr:cNvSpPr>
          <a:spLocks noChangeArrowheads="1"/>
        </xdr:cNvSpPr>
      </xdr:nvSpPr>
      <xdr:spPr bwMode="auto">
        <a:xfrm>
          <a:off x="705432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9</xdr:col>
      <xdr:colOff>314325</xdr:colOff>
      <xdr:row>0</xdr:row>
      <xdr:rowOff>38100</xdr:rowOff>
    </xdr:from>
    <xdr:to>
      <xdr:col>11</xdr:col>
      <xdr:colOff>183675</xdr:colOff>
      <xdr:row>0</xdr:row>
      <xdr:rowOff>326100</xdr:rowOff>
    </xdr:to>
    <xdr:sp macro="" textlink="">
      <xdr:nvSpPr>
        <xdr:cNvPr id="13" name="Rectangle à coins arrondis 2">
          <a:hlinkClick xmlns:r="http://schemas.openxmlformats.org/officeDocument/2006/relationships" r:id="rId5" tooltip="Introduction"/>
        </xdr:cNvPr>
        <xdr:cNvSpPr>
          <a:spLocks noChangeArrowheads="1"/>
        </xdr:cNvSpPr>
      </xdr:nvSpPr>
      <xdr:spPr bwMode="auto">
        <a:xfrm>
          <a:off x="5667375"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GBC_NAS\VGBC_Network\VGBC%20Shared\LOTUS\LOTUS%20Homes\9.%20Final%20Pilot%20(Released%20on%2010.06.16)\Updates%20User%20Tool\LOTUS%20Homes%20Pilot%20-%20User%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GBC-HP/Documents/MEGA/LOTUS%20Systems/LOTUS%20Small%20Buildings/01%20-%20Pilot%20version/2_%20Progressive%20Updates/LOTUS%20Small%20Buildings%20Pilot%20%20-%20User%20Tool%20-%2016.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GBC_NAS\VGBC_Network\VGBC%20Shared\LOTUS\LOTUS%20Homes\9.%20Final%20Pilot\Released%20on%2006.06.16\LOTUS%20Homes%20Pilot%20-%20User%20Too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GBC-HP/Documents/MEGA/LOTUS%20Systems/LOTUS%20Small%20Interiors/LOTUS%20Small%20Interiors%20-%20User%20Tool%20-%2019.04.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GBC_NAS\VGBC_Network\Users\phong.vu\Documents\Xavier\Interiors\LOTUS%20Interiors%20-%20User%20Tool%20-%202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LOTUS Homes Scorecard"/>
      <sheetName val="Graphical Results"/>
      <sheetName val="Energy"/>
      <sheetName val="E-1 Passive Design"/>
      <sheetName val="E-2 Building Envelope"/>
      <sheetName val="E-3 Home Cooling"/>
      <sheetName val="E-4 Artificial Lighting"/>
      <sheetName val="E-5 Water Heating"/>
      <sheetName val="E-6 Energy Efficient Appliances"/>
      <sheetName val="E-7 Energy Monitors "/>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Low-VOC Emissions"/>
      <sheetName val="H-4 Daylighting"/>
      <sheetName val="H-5 Acoustic Comfort"/>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Waste Management"/>
      <sheetName val="LE BPC"/>
      <sheetName val="Community &amp; Management"/>
      <sheetName val="CM-1 Design Stage"/>
      <sheetName val="CM-2 Construction Management"/>
      <sheetName val="CM-3 Operational Management"/>
      <sheetName val="CM BPC"/>
      <sheetName val="Innovation"/>
      <sheetName val="Inn-1 Exceptional Performance "/>
      <sheetName val="Inn-2 Innovative Techniques"/>
      <sheetName val="Glossary"/>
      <sheetName val="Resources"/>
      <sheetName val="Rainfall Data"/>
      <sheetName val="Feed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0">
          <cell r="O200" t="str">
            <v>Select</v>
          </cell>
        </row>
        <row r="201">
          <cell r="O201" t="str">
            <v xml:space="preserve">Unitary air-conditioner </v>
          </cell>
        </row>
        <row r="202">
          <cell r="O202" t="str">
            <v xml:space="preserve">Split air-conditioner </v>
          </cell>
        </row>
        <row r="203">
          <cell r="O203" t="str">
            <v>Air-cooled air-conditioner</v>
          </cell>
        </row>
        <row r="204">
          <cell r="O204" t="str">
            <v>Water cooled air-conditioner</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1" refreshError="1"/>
      <sheetData sheetId="42" refreshError="1"/>
      <sheetData sheetId="43">
        <row r="34">
          <cell r="M34" t="str">
            <v>Select</v>
          </cell>
        </row>
        <row r="35">
          <cell r="M35" t="str">
            <v>low slope</v>
          </cell>
        </row>
        <row r="36">
          <cell r="M36" t="str">
            <v>steep slope</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A4" t="str">
            <v>Select</v>
          </cell>
        </row>
        <row r="5">
          <cell r="A5" t="str">
            <v>Ba Vì</v>
          </cell>
        </row>
        <row r="6">
          <cell r="A6" t="str">
            <v>Bắc Giang</v>
          </cell>
        </row>
        <row r="7">
          <cell r="A7" t="str">
            <v>Bắc Kạn</v>
          </cell>
        </row>
        <row r="8">
          <cell r="A8" t="str">
            <v>BuônMaThuật</v>
          </cell>
        </row>
        <row r="9">
          <cell r="A9" t="str">
            <v>Cà Mau</v>
          </cell>
        </row>
        <row r="10">
          <cell r="A10" t="str">
            <v>Cam Ranh</v>
          </cell>
        </row>
        <row r="11">
          <cell r="A11" t="str">
            <v>Cần Thơ</v>
          </cell>
        </row>
        <row r="12">
          <cell r="A12" t="str">
            <v xml:space="preserve">Càng Long </v>
          </cell>
        </row>
        <row r="13">
          <cell r="A13" t="str">
            <v>Cao Bằng</v>
          </cell>
        </row>
        <row r="14">
          <cell r="A14" t="str">
            <v>Cao Lãnh</v>
          </cell>
        </row>
        <row r="15">
          <cell r="A15" t="str">
            <v>Chấu Đốc</v>
          </cell>
        </row>
        <row r="16">
          <cell r="A16" t="str">
            <v>Côn Sơn</v>
          </cell>
        </row>
        <row r="17">
          <cell r="A17" t="str">
            <v>Cửa Ông</v>
          </cell>
        </row>
        <row r="18">
          <cell r="A18" t="str">
            <v>Đà Lạt</v>
          </cell>
        </row>
        <row r="19">
          <cell r="A19" t="str">
            <v>Đà Nẵng</v>
          </cell>
        </row>
        <row r="20">
          <cell r="A20" t="str">
            <v>Điện Biên</v>
          </cell>
        </row>
        <row r="21">
          <cell r="A21" t="str">
            <v xml:space="preserve">Đông Hà </v>
          </cell>
        </row>
        <row r="22">
          <cell r="A22" t="str">
            <v>Đồng Hới</v>
          </cell>
        </row>
        <row r="23">
          <cell r="A23" t="str">
            <v>Hà Đông</v>
          </cell>
        </row>
        <row r="24">
          <cell r="A24" t="str">
            <v>Hà Giang</v>
          </cell>
        </row>
        <row r="25">
          <cell r="A25" t="str">
            <v>Hà Nội</v>
          </cell>
        </row>
        <row r="26">
          <cell r="A26" t="str">
            <v>Hà Tĩnh</v>
          </cell>
        </row>
        <row r="27">
          <cell r="A27" t="str">
            <v>Hải Dương</v>
          </cell>
        </row>
        <row r="28">
          <cell r="A28" t="str">
            <v>Hoà Bình</v>
          </cell>
        </row>
        <row r="29">
          <cell r="A29" t="str">
            <v>Hoàng Sa</v>
          </cell>
        </row>
        <row r="30">
          <cell r="A30" t="str">
            <v>Hòn Gai</v>
          </cell>
        </row>
        <row r="31">
          <cell r="A31" t="str">
            <v>Huế</v>
          </cell>
        </row>
        <row r="32">
          <cell r="A32" t="str">
            <v>Hưng Yên</v>
          </cell>
        </row>
        <row r="33">
          <cell r="A33" t="str">
            <v>Kon Tum</v>
          </cell>
        </row>
        <row r="34">
          <cell r="A34" t="str">
            <v>Lai Châu</v>
          </cell>
        </row>
        <row r="35">
          <cell r="A35" t="str">
            <v>Lạng Sơn</v>
          </cell>
        </row>
        <row r="36">
          <cell r="A36" t="str">
            <v>Lào Cai</v>
          </cell>
        </row>
        <row r="37">
          <cell r="A37" t="str">
            <v>Mộc Hoá</v>
          </cell>
        </row>
        <row r="38">
          <cell r="A38" t="str">
            <v>Mỹ Tho</v>
          </cell>
        </row>
        <row r="39">
          <cell r="A39" t="str">
            <v>Nam Định</v>
          </cell>
        </row>
        <row r="40">
          <cell r="A40" t="str">
            <v>Nha Trang</v>
          </cell>
        </row>
        <row r="41">
          <cell r="A41" t="str">
            <v>Ninh Bình</v>
          </cell>
        </row>
        <row r="42">
          <cell r="A42" t="str">
            <v>Phan Thiết</v>
          </cell>
        </row>
        <row r="43">
          <cell r="A43" t="str">
            <v>Phủ Liễn</v>
          </cell>
        </row>
        <row r="44">
          <cell r="A44" t="str">
            <v>Phú Quốc</v>
          </cell>
        </row>
        <row r="45">
          <cell r="A45" t="str">
            <v>Phước Long</v>
          </cell>
        </row>
        <row r="46">
          <cell r="A46" t="str">
            <v>Plâycu</v>
          </cell>
        </row>
        <row r="47">
          <cell r="A47" t="str">
            <v>Quảng Ngãi</v>
          </cell>
        </row>
        <row r="48">
          <cell r="A48" t="str">
            <v>Quy Nhơn</v>
          </cell>
        </row>
        <row r="49">
          <cell r="A49" t="str">
            <v>Rạch Giá</v>
          </cell>
        </row>
        <row r="50">
          <cell r="A50" t="str">
            <v>Sa Pa</v>
          </cell>
        </row>
        <row r="51">
          <cell r="A51" t="str">
            <v>Sóc Trăng</v>
          </cell>
        </row>
        <row r="52">
          <cell r="A52" t="str">
            <v>Sơn La</v>
          </cell>
        </row>
        <row r="53">
          <cell r="A53" t="str">
            <v>Sơn Tây</v>
          </cell>
        </row>
        <row r="54">
          <cell r="A54" t="str">
            <v>Tam Đảo</v>
          </cell>
        </row>
        <row r="55">
          <cell r="A55" t="str">
            <v>Tân Sơn Nhất</v>
          </cell>
        </row>
        <row r="56">
          <cell r="A56" t="str">
            <v>Tây Ninh</v>
          </cell>
        </row>
        <row r="57">
          <cell r="A57" t="str">
            <v>Thái Bình</v>
          </cell>
        </row>
        <row r="58">
          <cell r="A58" t="str">
            <v>Thái Nguyên</v>
          </cell>
        </row>
        <row r="59">
          <cell r="A59" t="str">
            <v>Thanh Hóa</v>
          </cell>
        </row>
        <row r="60">
          <cell r="A60" t="str">
            <v>Trường Sa</v>
          </cell>
        </row>
        <row r="61">
          <cell r="A61" t="str">
            <v>Tuy Hòa</v>
          </cell>
        </row>
        <row r="62">
          <cell r="A62" t="str">
            <v>Tuyên Quang</v>
          </cell>
        </row>
        <row r="63">
          <cell r="A63" t="str">
            <v>Uông Bí</v>
          </cell>
        </row>
        <row r="64">
          <cell r="A64" t="str">
            <v>Việt Trì</v>
          </cell>
        </row>
        <row r="65">
          <cell r="A65" t="str">
            <v>Vinh</v>
          </cell>
        </row>
        <row r="66">
          <cell r="A66" t="str">
            <v>Vĩnh Yên</v>
          </cell>
        </row>
        <row r="67">
          <cell r="A67" t="str">
            <v>Vũng Tàu</v>
          </cell>
        </row>
        <row r="68">
          <cell r="A68" t="str">
            <v>Yên Bái</v>
          </cell>
        </row>
      </sheetData>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Scorecard"/>
      <sheetName val="Graphical Results"/>
      <sheetName val="Energy"/>
      <sheetName val="E-1 Passive Design"/>
      <sheetName val="E-2 Building Envelope"/>
      <sheetName val="E-3 Building Cooling"/>
      <sheetName val="E-4 Artificial Lighting"/>
      <sheetName val="E-5 Water Heating"/>
      <sheetName val="E-5 Energy Efficient Appliances"/>
      <sheetName val="E-6 Energy Monitor"/>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CO2 Monitoring"/>
      <sheetName val="H-4 Low-VOC Emissions"/>
      <sheetName val="H-5 Daylighting"/>
      <sheetName val="H-6 External Views"/>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Recycling Storage Area"/>
      <sheetName val="Community &amp; Management"/>
      <sheetName val="CM-1 Design Stage"/>
      <sheetName val="CM-2 Construction Management"/>
      <sheetName val="CM-3 Operational Management"/>
      <sheetName val="CM-4 Access for PWD"/>
      <sheetName val="CM BPC"/>
      <sheetName val="Innovation"/>
      <sheetName val="Inn-1 Exceptional Performance "/>
      <sheetName val="Inn-2 Innovative Techniques"/>
      <sheetName val="Additional information"/>
      <sheetName val="Glossary"/>
      <sheetName val="Resources"/>
      <sheetName val="Rainfall Data"/>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59">
          <cell r="O159" t="str">
            <v>Select</v>
          </cell>
        </row>
      </sheetData>
      <sheetData sheetId="15">
        <row r="76">
          <cell r="M76" t="str">
            <v>Select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0">
          <cell r="P70" t="str">
            <v>Select</v>
          </cell>
        </row>
        <row r="71">
          <cell r="P71" t="str">
            <v>1. Hotels, motels</v>
          </cell>
        </row>
        <row r="72">
          <cell r="P72" t="str">
            <v>2. Laundry shops</v>
          </cell>
        </row>
        <row r="73">
          <cell r="P73" t="str">
            <v>3. Restaurants, coffee shops</v>
          </cell>
        </row>
        <row r="74">
          <cell r="P74" t="str">
            <v>4. Theaters</v>
          </cell>
        </row>
        <row r="75">
          <cell r="P75" t="str">
            <v>5. Educational buildings</v>
          </cell>
        </row>
        <row r="76">
          <cell r="P76" t="str">
            <v>6. Hospitals, clinics, retirement homes</v>
          </cell>
        </row>
        <row r="77">
          <cell r="P77" t="str">
            <v>7. Sports and Entertainment</v>
          </cell>
        </row>
        <row r="78">
          <cell r="P78" t="str">
            <v>8. Public spaces</v>
          </cell>
        </row>
        <row r="79">
          <cell r="P79" t="str">
            <v>9. Special retail spaces</v>
          </cell>
        </row>
        <row r="80">
          <cell r="P80" t="str">
            <v>10. Bus station, train station</v>
          </cell>
        </row>
        <row r="81">
          <cell r="P81" t="str">
            <v>11. Administrative buildings</v>
          </cell>
        </row>
        <row r="82">
          <cell r="P82" t="str">
            <v>12. Residential buildings</v>
          </cell>
        </row>
      </sheetData>
      <sheetData sheetId="34"/>
      <sheetData sheetId="35"/>
      <sheetData sheetId="36"/>
      <sheetData sheetId="37"/>
      <sheetData sheetId="38"/>
      <sheetData sheetId="39"/>
      <sheetData sheetId="40"/>
      <sheetData sheetId="41">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4">
          <cell r="A4" t="str">
            <v>Select</v>
          </cell>
        </row>
        <row r="5">
          <cell r="A5" t="str">
            <v>Ba Vì</v>
          </cell>
        </row>
        <row r="6">
          <cell r="A6" t="str">
            <v>Bắc Giang</v>
          </cell>
        </row>
        <row r="7">
          <cell r="A7" t="str">
            <v>Bắc Kạn</v>
          </cell>
        </row>
        <row r="8">
          <cell r="A8" t="str">
            <v>BuônMaThuật</v>
          </cell>
        </row>
        <row r="9">
          <cell r="A9" t="str">
            <v>Cà Mau</v>
          </cell>
        </row>
        <row r="10">
          <cell r="A10" t="str">
            <v>Cam Ranh</v>
          </cell>
        </row>
        <row r="11">
          <cell r="A11" t="str">
            <v>Cần Thơ</v>
          </cell>
        </row>
        <row r="12">
          <cell r="A12" t="str">
            <v xml:space="preserve">Càng Long </v>
          </cell>
        </row>
        <row r="13">
          <cell r="A13" t="str">
            <v>Cao Bằng</v>
          </cell>
        </row>
        <row r="14">
          <cell r="A14" t="str">
            <v>Cao Lãnh</v>
          </cell>
        </row>
        <row r="15">
          <cell r="A15" t="str">
            <v>Chấu Đốc</v>
          </cell>
        </row>
        <row r="16">
          <cell r="A16" t="str">
            <v>Côn Sơn</v>
          </cell>
        </row>
        <row r="17">
          <cell r="A17" t="str">
            <v>Cửa Ông</v>
          </cell>
        </row>
        <row r="18">
          <cell r="A18" t="str">
            <v>Đà Lạt</v>
          </cell>
        </row>
        <row r="19">
          <cell r="A19" t="str">
            <v>Đà Nẵng</v>
          </cell>
        </row>
        <row r="20">
          <cell r="A20" t="str">
            <v>Điện Biên</v>
          </cell>
        </row>
        <row r="21">
          <cell r="A21" t="str">
            <v xml:space="preserve">Đông Hà </v>
          </cell>
        </row>
        <row r="22">
          <cell r="A22" t="str">
            <v>Đồng Hới</v>
          </cell>
        </row>
        <row r="23">
          <cell r="A23" t="str">
            <v>Hà Đông</v>
          </cell>
        </row>
        <row r="24">
          <cell r="A24" t="str">
            <v>Hà Giang</v>
          </cell>
        </row>
        <row r="25">
          <cell r="A25" t="str">
            <v>Hà Nội</v>
          </cell>
        </row>
        <row r="26">
          <cell r="A26" t="str">
            <v>Hà Tĩnh</v>
          </cell>
        </row>
        <row r="27">
          <cell r="A27" t="str">
            <v>Hải Dương</v>
          </cell>
        </row>
        <row r="28">
          <cell r="A28" t="str">
            <v>Hoà Bình</v>
          </cell>
        </row>
        <row r="29">
          <cell r="A29" t="str">
            <v>Hoàng Sa</v>
          </cell>
        </row>
        <row r="30">
          <cell r="A30" t="str">
            <v>Hòn Gai</v>
          </cell>
        </row>
        <row r="31">
          <cell r="A31" t="str">
            <v>Huế</v>
          </cell>
        </row>
        <row r="32">
          <cell r="A32" t="str">
            <v>Hưng Yên</v>
          </cell>
        </row>
        <row r="33">
          <cell r="A33" t="str">
            <v>Kon Tum</v>
          </cell>
        </row>
        <row r="34">
          <cell r="A34" t="str">
            <v>Lai Châu</v>
          </cell>
        </row>
        <row r="35">
          <cell r="A35" t="str">
            <v>Lạng Sơn</v>
          </cell>
        </row>
        <row r="36">
          <cell r="A36" t="str">
            <v>Lào Cai</v>
          </cell>
        </row>
        <row r="37">
          <cell r="A37" t="str">
            <v>Mộc Hoá</v>
          </cell>
        </row>
        <row r="38">
          <cell r="A38" t="str">
            <v>Mỹ Tho</v>
          </cell>
        </row>
        <row r="39">
          <cell r="A39" t="str">
            <v>Nam Định</v>
          </cell>
        </row>
        <row r="40">
          <cell r="A40" t="str">
            <v>Nha Trang</v>
          </cell>
        </row>
        <row r="41">
          <cell r="A41" t="str">
            <v>Ninh Bình</v>
          </cell>
        </row>
        <row r="42">
          <cell r="A42" t="str">
            <v>Phan Thiết</v>
          </cell>
        </row>
        <row r="43">
          <cell r="A43" t="str">
            <v>Phủ Liễn</v>
          </cell>
        </row>
        <row r="44">
          <cell r="A44" t="str">
            <v>Phú Quốc</v>
          </cell>
        </row>
        <row r="45">
          <cell r="A45" t="str">
            <v>Phước Long</v>
          </cell>
        </row>
        <row r="46">
          <cell r="A46" t="str">
            <v>Plâycu</v>
          </cell>
        </row>
        <row r="47">
          <cell r="A47" t="str">
            <v>Quảng Ngãi</v>
          </cell>
        </row>
        <row r="48">
          <cell r="A48" t="str">
            <v>Quy Nhơn</v>
          </cell>
        </row>
        <row r="49">
          <cell r="A49" t="str">
            <v>Rạch Giá</v>
          </cell>
        </row>
        <row r="50">
          <cell r="A50" t="str">
            <v>Sa Pa</v>
          </cell>
        </row>
        <row r="51">
          <cell r="A51" t="str">
            <v>Sóc Trăng</v>
          </cell>
        </row>
        <row r="52">
          <cell r="A52" t="str">
            <v>Sơn La</v>
          </cell>
        </row>
        <row r="53">
          <cell r="A53" t="str">
            <v>Sơn Tây</v>
          </cell>
        </row>
        <row r="54">
          <cell r="A54" t="str">
            <v>Tam Đảo</v>
          </cell>
        </row>
        <row r="55">
          <cell r="A55" t="str">
            <v>Tân Sơn Nhất</v>
          </cell>
        </row>
        <row r="56">
          <cell r="A56" t="str">
            <v>Tây Ninh</v>
          </cell>
        </row>
        <row r="57">
          <cell r="A57" t="str">
            <v>Thái Bình</v>
          </cell>
        </row>
        <row r="58">
          <cell r="A58" t="str">
            <v>Thái Nguyên</v>
          </cell>
        </row>
        <row r="59">
          <cell r="A59" t="str">
            <v>Thanh Hóa</v>
          </cell>
        </row>
        <row r="60">
          <cell r="A60" t="str">
            <v>Trường Sa</v>
          </cell>
        </row>
        <row r="61">
          <cell r="A61" t="str">
            <v>Tuy Hòa</v>
          </cell>
        </row>
        <row r="62">
          <cell r="A62" t="str">
            <v>Tuyên Quang</v>
          </cell>
        </row>
        <row r="63">
          <cell r="A63" t="str">
            <v>Uông Bí</v>
          </cell>
        </row>
        <row r="64">
          <cell r="A64" t="str">
            <v>Việt Trì</v>
          </cell>
        </row>
        <row r="65">
          <cell r="A65" t="str">
            <v>Vinh</v>
          </cell>
        </row>
        <row r="66">
          <cell r="A66" t="str">
            <v>Vĩnh Yên</v>
          </cell>
        </row>
        <row r="67">
          <cell r="A67" t="str">
            <v>Vũng Tàu</v>
          </cell>
        </row>
        <row r="68">
          <cell r="A68" t="str">
            <v>Yên Bái</v>
          </cell>
        </row>
      </sheetData>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LOTUS Homes Scorecard"/>
      <sheetName val="Graphical Results"/>
      <sheetName val="Energy"/>
      <sheetName val="E-1 Passive Design"/>
      <sheetName val="E-2 Building Envelope"/>
      <sheetName val="E-3 Home Cooling"/>
      <sheetName val="E-4 Artificial Lighting"/>
      <sheetName val="E-5 Water Heating"/>
      <sheetName val="E-6 Energy Efficient Appliances"/>
      <sheetName val="E-7 Energy Monitors "/>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Low-VOC Emissions"/>
      <sheetName val="H-4 Daylighting"/>
      <sheetName val="H-5 Acoustic Comfort"/>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Waste Management"/>
      <sheetName val="LE BPC"/>
      <sheetName val="Community &amp; Management"/>
      <sheetName val="CM-1 Design Stage"/>
      <sheetName val="CM-2 Construction Management"/>
      <sheetName val="CM-3 Operational Management"/>
      <sheetName val="CM BPC"/>
      <sheetName val="Innovation"/>
      <sheetName val="Inn-1 Exceptional Performance "/>
      <sheetName val="Inn-2 Innovative Techniques"/>
      <sheetName val="Glossary"/>
      <sheetName val="Resources"/>
      <sheetName val="Rainfall Data"/>
      <sheetName val="Feed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0">
          <cell r="O200" t="str">
            <v>Select</v>
          </cell>
        </row>
        <row r="201">
          <cell r="O201" t="str">
            <v xml:space="preserve">Unitary air-conditioner </v>
          </cell>
        </row>
        <row r="202">
          <cell r="O202" t="str">
            <v xml:space="preserve">Split air-conditioner </v>
          </cell>
        </row>
        <row r="203">
          <cell r="O203" t="str">
            <v>Air-cooled air-conditioner</v>
          </cell>
        </row>
        <row r="204">
          <cell r="O204" t="str">
            <v>Water cooled air-conditioner</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1" refreshError="1"/>
      <sheetData sheetId="42" refreshError="1"/>
      <sheetData sheetId="43">
        <row r="34">
          <cell r="M34" t="str">
            <v>Select</v>
          </cell>
        </row>
        <row r="35">
          <cell r="M35" t="str">
            <v>low slope</v>
          </cell>
        </row>
        <row r="36">
          <cell r="M36" t="str">
            <v>steep slope</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A4" t="str">
            <v>Select</v>
          </cell>
        </row>
        <row r="5">
          <cell r="A5" t="str">
            <v>Ba Vì</v>
          </cell>
        </row>
        <row r="6">
          <cell r="A6" t="str">
            <v>Bắc Giang</v>
          </cell>
        </row>
        <row r="7">
          <cell r="A7" t="str">
            <v>Bắc Kạn</v>
          </cell>
        </row>
        <row r="8">
          <cell r="A8" t="str">
            <v>BuônMaThuật</v>
          </cell>
        </row>
        <row r="9">
          <cell r="A9" t="str">
            <v>Cà Mau</v>
          </cell>
        </row>
        <row r="10">
          <cell r="A10" t="str">
            <v>Cam Ranh</v>
          </cell>
        </row>
        <row r="11">
          <cell r="A11" t="str">
            <v>Cần Thơ</v>
          </cell>
        </row>
        <row r="12">
          <cell r="A12" t="str">
            <v xml:space="preserve">Càng Long </v>
          </cell>
        </row>
        <row r="13">
          <cell r="A13" t="str">
            <v>Cao Bằng</v>
          </cell>
        </row>
        <row r="14">
          <cell r="A14" t="str">
            <v>Cao Lãnh</v>
          </cell>
        </row>
        <row r="15">
          <cell r="A15" t="str">
            <v>Chấu Đốc</v>
          </cell>
        </row>
        <row r="16">
          <cell r="A16" t="str">
            <v>Côn Sơn</v>
          </cell>
        </row>
        <row r="17">
          <cell r="A17" t="str">
            <v>Cửa Ông</v>
          </cell>
        </row>
        <row r="18">
          <cell r="A18" t="str">
            <v>Đà Lạt</v>
          </cell>
        </row>
        <row r="19">
          <cell r="A19" t="str">
            <v>Đà Nẵng</v>
          </cell>
        </row>
        <row r="20">
          <cell r="A20" t="str">
            <v>Điện Biên</v>
          </cell>
        </row>
        <row r="21">
          <cell r="A21" t="str">
            <v xml:space="preserve">Đông Hà </v>
          </cell>
        </row>
        <row r="22">
          <cell r="A22" t="str">
            <v>Đồng Hới</v>
          </cell>
        </row>
        <row r="23">
          <cell r="A23" t="str">
            <v>Hà Đông</v>
          </cell>
        </row>
        <row r="24">
          <cell r="A24" t="str">
            <v>Hà Giang</v>
          </cell>
        </row>
        <row r="25">
          <cell r="A25" t="str">
            <v>Hà Nội</v>
          </cell>
        </row>
        <row r="26">
          <cell r="A26" t="str">
            <v>Hà Tĩnh</v>
          </cell>
        </row>
        <row r="27">
          <cell r="A27" t="str">
            <v>Hải Dương</v>
          </cell>
        </row>
        <row r="28">
          <cell r="A28" t="str">
            <v>Hoà Bình</v>
          </cell>
        </row>
        <row r="29">
          <cell r="A29" t="str">
            <v>Hoàng Sa</v>
          </cell>
        </row>
        <row r="30">
          <cell r="A30" t="str">
            <v>Hòn Gai</v>
          </cell>
        </row>
        <row r="31">
          <cell r="A31" t="str">
            <v>Huế</v>
          </cell>
        </row>
        <row r="32">
          <cell r="A32" t="str">
            <v>Hưng Yên</v>
          </cell>
        </row>
        <row r="33">
          <cell r="A33" t="str">
            <v>Kon Tum</v>
          </cell>
        </row>
        <row r="34">
          <cell r="A34" t="str">
            <v>Lai Châu</v>
          </cell>
        </row>
        <row r="35">
          <cell r="A35" t="str">
            <v>Lạng Sơn</v>
          </cell>
        </row>
        <row r="36">
          <cell r="A36" t="str">
            <v>Lào Cai</v>
          </cell>
        </row>
        <row r="37">
          <cell r="A37" t="str">
            <v>Mộc Hoá</v>
          </cell>
        </row>
        <row r="38">
          <cell r="A38" t="str">
            <v>Mỹ Tho</v>
          </cell>
        </row>
        <row r="39">
          <cell r="A39" t="str">
            <v>Nam Định</v>
          </cell>
        </row>
        <row r="40">
          <cell r="A40" t="str">
            <v>Nha Trang</v>
          </cell>
        </row>
        <row r="41">
          <cell r="A41" t="str">
            <v>Ninh Bình</v>
          </cell>
        </row>
        <row r="42">
          <cell r="A42" t="str">
            <v>Phan Thiết</v>
          </cell>
        </row>
        <row r="43">
          <cell r="A43" t="str">
            <v>Phủ Liễn</v>
          </cell>
        </row>
        <row r="44">
          <cell r="A44" t="str">
            <v>Phú Quốc</v>
          </cell>
        </row>
        <row r="45">
          <cell r="A45" t="str">
            <v>Phước Long</v>
          </cell>
        </row>
        <row r="46">
          <cell r="A46" t="str">
            <v>Plâycu</v>
          </cell>
        </row>
        <row r="47">
          <cell r="A47" t="str">
            <v>Quảng Ngãi</v>
          </cell>
        </row>
        <row r="48">
          <cell r="A48" t="str">
            <v>Quy Nhơn</v>
          </cell>
        </row>
        <row r="49">
          <cell r="A49" t="str">
            <v>Rạch Giá</v>
          </cell>
        </row>
        <row r="50">
          <cell r="A50" t="str">
            <v>Sa Pa</v>
          </cell>
        </row>
        <row r="51">
          <cell r="A51" t="str">
            <v>Sóc Trăng</v>
          </cell>
        </row>
        <row r="52">
          <cell r="A52" t="str">
            <v>Sơn La</v>
          </cell>
        </row>
        <row r="53">
          <cell r="A53" t="str">
            <v>Sơn Tây</v>
          </cell>
        </row>
        <row r="54">
          <cell r="A54" t="str">
            <v>Tam Đảo</v>
          </cell>
        </row>
        <row r="55">
          <cell r="A55" t="str">
            <v>Tân Sơn Nhất</v>
          </cell>
        </row>
        <row r="56">
          <cell r="A56" t="str">
            <v>Tây Ninh</v>
          </cell>
        </row>
        <row r="57">
          <cell r="A57" t="str">
            <v>Thái Bình</v>
          </cell>
        </row>
        <row r="58">
          <cell r="A58" t="str">
            <v>Thái Nguyên</v>
          </cell>
        </row>
        <row r="59">
          <cell r="A59" t="str">
            <v>Thanh Hóa</v>
          </cell>
        </row>
        <row r="60">
          <cell r="A60" t="str">
            <v>Trường Sa</v>
          </cell>
        </row>
        <row r="61">
          <cell r="A61" t="str">
            <v>Tuy Hòa</v>
          </cell>
        </row>
        <row r="62">
          <cell r="A62" t="str">
            <v>Tuyên Quang</v>
          </cell>
        </row>
        <row r="63">
          <cell r="A63" t="str">
            <v>Uông Bí</v>
          </cell>
        </row>
        <row r="64">
          <cell r="A64" t="str">
            <v>Việt Trì</v>
          </cell>
        </row>
        <row r="65">
          <cell r="A65" t="str">
            <v>Vinh</v>
          </cell>
        </row>
        <row r="66">
          <cell r="A66" t="str">
            <v>Vĩnh Yên</v>
          </cell>
        </row>
        <row r="67">
          <cell r="A67" t="str">
            <v>Vũng Tàu</v>
          </cell>
        </row>
        <row r="68">
          <cell r="A68" t="str">
            <v>Yên Bái</v>
          </cell>
        </row>
      </sheetData>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Acknowledgments"/>
      <sheetName val="Introduction"/>
      <sheetName val="Instructions"/>
      <sheetName val="Recommendations"/>
      <sheetName val="LOTUS SI Eligibility"/>
      <sheetName val="Project information"/>
      <sheetName val="Application Form"/>
      <sheetName val="Pre-assessment checklist"/>
      <sheetName val="Prov. Certification checklist"/>
      <sheetName val="Certification checklist "/>
      <sheetName val="LOTUS SI Scorecard"/>
      <sheetName val="Graphical Results"/>
      <sheetName val="Energy"/>
      <sheetName val="E-1 Space cooling"/>
      <sheetName val="E-2 Artificial Lighting"/>
      <sheetName val="E-3 Energy Efficient Appliances"/>
      <sheetName val="E-4 Energy Monitor"/>
      <sheetName val="Energy BPC"/>
      <sheetName val="Water"/>
      <sheetName val="W-1 Water Efficient Fixtures"/>
      <sheetName val="W-2 Drinking Water "/>
      <sheetName val="Materials"/>
      <sheetName val="Materials Glossary"/>
      <sheetName val="M-1 Sustainable Materials"/>
      <sheetName val="M-2 Sustainable Furniture"/>
      <sheetName val="Waste &amp; Pollution"/>
      <sheetName val="WP-1 Refrigerants"/>
      <sheetName val="WP-2 Construction Waste"/>
      <sheetName val="WP-3 Waste Management"/>
      <sheetName val="Health &amp; Comfort"/>
      <sheetName val="H-1 Fresh Air Supply"/>
      <sheetName val="H-2 Low-VOC Emissions "/>
      <sheetName val="H-3 Interior Plants"/>
      <sheetName val="H-4 Green Cleaning"/>
      <sheetName val="H-5 Daylighting"/>
      <sheetName val="H-6 External Views"/>
      <sheetName val="H-7 Thermal Comfort"/>
      <sheetName val="H&amp;C BPC"/>
      <sheetName val="Location &amp; Transportation"/>
      <sheetName val="LT-1 Base building "/>
      <sheetName val="LT-2 Tenancy lease"/>
      <sheetName val="LT-3 Green Transportation "/>
      <sheetName val="LT-BPC"/>
      <sheetName val="Management"/>
      <sheetName val="Man-1 Construction Stage"/>
      <sheetName val="Man-2 Commissioning"/>
      <sheetName val="Man-3 Maintenance"/>
      <sheetName val="Man-4 Green Awareness "/>
      <sheetName val="Man BPC"/>
      <sheetName val="Innovation"/>
      <sheetName val="Inn-1 Exceptional Performance "/>
      <sheetName val="Inn-2 Innovative Techniques"/>
      <sheetName val="Additional information"/>
      <sheetName val="Glossary"/>
      <sheetName val="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ow r="167">
          <cell r="O167" t="str">
            <v>Select</v>
          </cell>
        </row>
        <row r="168">
          <cell r="O168" t="str">
            <v xml:space="preserve">Unitary air-conditioner </v>
          </cell>
        </row>
        <row r="169">
          <cell r="O169" t="str">
            <v xml:space="preserve">Split air-conditioner </v>
          </cell>
        </row>
        <row r="170">
          <cell r="O170" t="str">
            <v>Air-cooled air-conditioner</v>
          </cell>
        </row>
        <row r="171">
          <cell r="O171" t="str">
            <v>Air conditioner water and evaporatively cooled</v>
          </cell>
        </row>
        <row r="172">
          <cell r="O172" t="str">
            <v>Air cooled chiller</v>
          </cell>
        </row>
        <row r="173">
          <cell r="O173" t="str">
            <v>Water cooled chiller (reciprocating)</v>
          </cell>
        </row>
        <row r="174">
          <cell r="O174" t="str">
            <v>Water cooled chiller (screw and scroll)</v>
          </cell>
        </row>
        <row r="175">
          <cell r="O175" t="str">
            <v>Water cooled chiller (centrifugal)</v>
          </cell>
        </row>
      </sheetData>
      <sheetData sheetId="16">
        <row r="27">
          <cell r="M27" t="str">
            <v>Select</v>
          </cell>
        </row>
        <row r="28">
          <cell r="M28" t="str">
            <v>Office</v>
          </cell>
        </row>
        <row r="29">
          <cell r="M29" t="str">
            <v>Hotel</v>
          </cell>
        </row>
        <row r="30">
          <cell r="M30" t="str">
            <v>Hospital</v>
          </cell>
        </row>
        <row r="31">
          <cell r="M31" t="str">
            <v>School</v>
          </cell>
        </row>
        <row r="32">
          <cell r="M32" t="str">
            <v>Retail</v>
          </cell>
        </row>
        <row r="33">
          <cell r="M33" t="str">
            <v>Residential</v>
          </cell>
        </row>
        <row r="34">
          <cell r="M34" t="str">
            <v>Enclosed, in-house, basement car parks</v>
          </cell>
        </row>
        <row r="35">
          <cell r="M35" t="str">
            <v xml:space="preserve">Outdoor or open (roofed only) car parks </v>
          </cell>
        </row>
        <row r="36">
          <cell r="M36" t="str">
            <v>Other types</v>
          </cell>
        </row>
      </sheetData>
      <sheetData sheetId="17" refreshError="1"/>
      <sheetData sheetId="18" refreshError="1"/>
      <sheetData sheetId="19" refreshError="1"/>
      <sheetData sheetId="20" refreshError="1"/>
      <sheetData sheetId="21">
        <row r="207">
          <cell r="M207" t="str">
            <v>Select</v>
          </cell>
        </row>
        <row r="208">
          <cell r="M208" t="str">
            <v>Residential dishwashers (standard and compact)</v>
          </cell>
        </row>
        <row r="209">
          <cell r="M209" t="str">
            <v>Residential Clothes washer</v>
          </cell>
        </row>
        <row r="210">
          <cell r="M210" t="str">
            <v>Commercial Clothes washer</v>
          </cell>
        </row>
        <row r="211">
          <cell r="M211" t="str">
            <v>Commercial Prerinse Spray Valves</v>
          </cell>
        </row>
        <row r="212">
          <cell r="M212" t="str">
            <v>Ice machine</v>
          </cell>
        </row>
        <row r="213">
          <cell r="M213" t="str">
            <v>Dishwasher (undercounter)</v>
          </cell>
        </row>
        <row r="214">
          <cell r="M214" t="str">
            <v>Dishwasher (Stationary, single tank, door)</v>
          </cell>
        </row>
        <row r="215">
          <cell r="M215" t="str">
            <v>Dishwasher (Single tank, conveyor)</v>
          </cell>
        </row>
        <row r="216">
          <cell r="M216" t="str">
            <v>Dishwasher (Multiple tank, conveyor)</v>
          </cell>
        </row>
        <row r="217">
          <cell r="M217" t="str">
            <v>Dishwasher (Flight machine)</v>
          </cell>
        </row>
        <row r="218">
          <cell r="M218" t="str">
            <v>Food steamer (batch)</v>
          </cell>
        </row>
        <row r="219">
          <cell r="M219" t="str">
            <v>Food steamer (Cook-to-order)</v>
          </cell>
        </row>
        <row r="220">
          <cell r="M220" t="str">
            <v>Combination oven (Countertop or stand)</v>
          </cell>
        </row>
        <row r="221">
          <cell r="M221" t="str">
            <v>Combination oven (Roll-in)</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47">
          <cell r="P247" t="str">
            <v>Select</v>
          </cell>
        </row>
        <row r="248">
          <cell r="P248" t="str">
            <v>Apartment and condominium</v>
          </cell>
        </row>
        <row r="249">
          <cell r="P249" t="str">
            <v>Hotel/motel</v>
          </cell>
        </row>
        <row r="250">
          <cell r="P250" t="str">
            <v>Office building</v>
          </cell>
        </row>
        <row r="251">
          <cell r="P251" t="str">
            <v>Hospital &amp; Clinic</v>
          </cell>
        </row>
        <row r="252">
          <cell r="P252" t="str">
            <v>Courtroom</v>
          </cell>
        </row>
        <row r="253">
          <cell r="P253" t="str">
            <v>Performing arts space</v>
          </cell>
        </row>
        <row r="254">
          <cell r="P254" t="str">
            <v>Laboratories</v>
          </cell>
        </row>
        <row r="255">
          <cell r="P255" t="str">
            <v>Library</v>
          </cell>
        </row>
        <row r="256">
          <cell r="P256" t="str">
            <v>Indoor stadium, gymnasium</v>
          </cell>
        </row>
        <row r="257">
          <cell r="P257" t="str">
            <v>School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Introduction"/>
      <sheetName val="Instructions"/>
      <sheetName val="Recommendations"/>
      <sheetName val="LOTUS Interiors Eligibility"/>
      <sheetName val="Project information"/>
      <sheetName val="LOTUS Interiors Scorecard"/>
      <sheetName val="Graphical Results"/>
      <sheetName val="Pre-assessment checklist"/>
      <sheetName val="Prov. Certification checklist"/>
      <sheetName val="Final Certification checklist "/>
      <sheetName val="Energy"/>
      <sheetName val="E-1 Space cooling"/>
      <sheetName val="E-2 Artificial Lighting"/>
      <sheetName val="E-3 Energy Efficient Appliances"/>
      <sheetName val="E-4 Energy Monitoring"/>
      <sheetName val="Water"/>
      <sheetName val="W-1 Water Efficient Fixtures"/>
      <sheetName val="W-2 Drinking Water "/>
      <sheetName val="Materials"/>
      <sheetName val="M-1 Sustainable Materials"/>
      <sheetName val="M-2 Sustainable Furniture"/>
      <sheetName val="Waste &amp; Pollution"/>
      <sheetName val="WP-1 Refrigerants"/>
      <sheetName val="WP-2 Construction Waste"/>
      <sheetName val="WP-3 Waste Management"/>
      <sheetName val="Health &amp; Comfort"/>
      <sheetName val="H-PR-1 Indoor Smoking"/>
      <sheetName val="H-1 Fresh Air Supply"/>
      <sheetName val="H-2 CO2 Monitoring"/>
      <sheetName val="H-3 Hazardous Materials"/>
      <sheetName val="H-4 Removal of pollutants"/>
      <sheetName val="H-5 Interior Plants"/>
      <sheetName val="H-6 Green Cleaning"/>
      <sheetName val="H-7 Daylighting"/>
      <sheetName val="H-8 External Views"/>
      <sheetName val="H-9 Lighting Comfort"/>
      <sheetName val="H-10 Thermal Comfort"/>
      <sheetName val="H-11 Acoustic Comfort"/>
      <sheetName val="H-12 Post-occupancy Comfort"/>
      <sheetName val="Location &amp; Transportation"/>
      <sheetName val="LT-1 Base building "/>
      <sheetName val="LT-2 Tenancy lease"/>
      <sheetName val="LT-3 Green Transportation "/>
      <sheetName val="LT-4 Facilities and amenities "/>
      <sheetName val="Management"/>
      <sheetName val="Man-1 LOTUS AP"/>
      <sheetName val="Man-2 Construction Stage"/>
      <sheetName val="Man-3 Commissioning"/>
      <sheetName val="Man-4 Maintenance"/>
      <sheetName val="Man-5 Green Awareness "/>
      <sheetName val="Innovation"/>
      <sheetName val="Inn-1 Exceptional Performance "/>
      <sheetName val="Inn-2 Innovative Techniques"/>
      <sheetName val="Resources"/>
      <sheetName val="Rainfall Data"/>
      <sheetName val="Example"/>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4">
          <cell r="O54" t="str">
            <v>Select</v>
          </cell>
        </row>
      </sheetData>
      <sheetData sheetId="14">
        <row r="28">
          <cell r="L28" t="str">
            <v>Select</v>
          </cell>
        </row>
        <row r="29">
          <cell r="L29" t="str">
            <v>Office</v>
          </cell>
        </row>
        <row r="30">
          <cell r="L30" t="str">
            <v>Hotel</v>
          </cell>
        </row>
        <row r="31">
          <cell r="L31" t="str">
            <v>Hospital</v>
          </cell>
        </row>
        <row r="32">
          <cell r="L32" t="str">
            <v>School</v>
          </cell>
        </row>
        <row r="33">
          <cell r="L33" t="str">
            <v>Retail</v>
          </cell>
        </row>
        <row r="34">
          <cell r="L34" t="str">
            <v>Residential</v>
          </cell>
        </row>
        <row r="35">
          <cell r="L35" t="str">
            <v>Enclosed, in-house, basement car parks</v>
          </cell>
        </row>
        <row r="36">
          <cell r="L36" t="str">
            <v xml:space="preserve">Outdoor or open (roofed only) car parks </v>
          </cell>
        </row>
        <row r="37">
          <cell r="L37" t="str">
            <v>Other types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rcrtom.com.au/" TargetMode="External"/><Relationship Id="rId18" Type="http://schemas.openxmlformats.org/officeDocument/2006/relationships/hyperlink" Target="http://www.bharchitects.com/en/news" TargetMode="External"/><Relationship Id="rId26" Type="http://schemas.openxmlformats.org/officeDocument/2006/relationships/hyperlink" Target="http://www.sonacons.com.vn/en/" TargetMode="External"/><Relationship Id="rId21" Type="http://schemas.openxmlformats.org/officeDocument/2006/relationships/hyperlink" Target="http://www.cbrevietnam.com/?lang=vi" TargetMode="External"/><Relationship Id="rId34" Type="http://schemas.openxmlformats.org/officeDocument/2006/relationships/hyperlink" Target="http://www.zamilsteel.com.vn/" TargetMode="External"/><Relationship Id="rId7" Type="http://schemas.openxmlformats.org/officeDocument/2006/relationships/hyperlink" Target="http://www.lapnguyen.com.vn/" TargetMode="External"/><Relationship Id="rId12" Type="http://schemas.openxmlformats.org/officeDocument/2006/relationships/hyperlink" Target="http://www.dragoncapital.com/" TargetMode="External"/><Relationship Id="rId17" Type="http://schemas.openxmlformats.org/officeDocument/2006/relationships/hyperlink" Target="http://www.namajsc.com.vn/" TargetMode="External"/><Relationship Id="rId25" Type="http://schemas.openxmlformats.org/officeDocument/2006/relationships/hyperlink" Target="http://hoangtam.com/" TargetMode="External"/><Relationship Id="rId33" Type="http://schemas.openxmlformats.org/officeDocument/2006/relationships/hyperlink" Target="http://work-wonders.com.vn/" TargetMode="External"/><Relationship Id="rId38" Type="http://schemas.openxmlformats.org/officeDocument/2006/relationships/drawing" Target="../drawings/drawing2.xml"/><Relationship Id="rId2" Type="http://schemas.openxmlformats.org/officeDocument/2006/relationships/hyperlink" Target="http://awspl.com.vn/details/about-us.html" TargetMode="External"/><Relationship Id="rId16" Type="http://schemas.openxmlformats.org/officeDocument/2006/relationships/hyperlink" Target="http://www.e-block.com.vn/eblock" TargetMode="External"/><Relationship Id="rId20" Type="http://schemas.openxmlformats.org/officeDocument/2006/relationships/hyperlink" Target="http://www.cattuongcorp.com/en/" TargetMode="External"/><Relationship Id="rId29" Type="http://schemas.openxmlformats.org/officeDocument/2006/relationships/hyperlink" Target="http://www.tttcompany.com/" TargetMode="External"/><Relationship Id="rId1" Type="http://schemas.openxmlformats.org/officeDocument/2006/relationships/hyperlink" Target="http://out-2.com/" TargetMode="External"/><Relationship Id="rId6" Type="http://schemas.openxmlformats.org/officeDocument/2006/relationships/hyperlink" Target="http://www.groupgsa.com/" TargetMode="External"/><Relationship Id="rId11" Type="http://schemas.openxmlformats.org/officeDocument/2006/relationships/hyperlink" Target="http://dpsd.com.sg/" TargetMode="External"/><Relationship Id="rId24" Type="http://schemas.openxmlformats.org/officeDocument/2006/relationships/hyperlink" Target="http://www.dragoncapital.com/" TargetMode="External"/><Relationship Id="rId32" Type="http://schemas.openxmlformats.org/officeDocument/2006/relationships/hyperlink" Target="http://www.unicons.vn/" TargetMode="External"/><Relationship Id="rId37" Type="http://schemas.openxmlformats.org/officeDocument/2006/relationships/hyperlink" Target="http://www.saigonxanh.com/" TargetMode="External"/><Relationship Id="rId5" Type="http://schemas.openxmlformats.org/officeDocument/2006/relationships/hyperlink" Target="http://www.namajsc.com.vn/" TargetMode="External"/><Relationship Id="rId15" Type="http://schemas.openxmlformats.org/officeDocument/2006/relationships/hyperlink" Target="http://www.palm.vn/" TargetMode="External"/><Relationship Id="rId23" Type="http://schemas.openxmlformats.org/officeDocument/2006/relationships/hyperlink" Target="http://greenconsult-asia.com/references/dbw-factory/" TargetMode="External"/><Relationship Id="rId28" Type="http://schemas.openxmlformats.org/officeDocument/2006/relationships/hyperlink" Target="http://www.archetype-group.com/" TargetMode="External"/><Relationship Id="rId36" Type="http://schemas.openxmlformats.org/officeDocument/2006/relationships/hyperlink" Target="http://quocviet.technology/" TargetMode="External"/><Relationship Id="rId10" Type="http://schemas.openxmlformats.org/officeDocument/2006/relationships/hyperlink" Target="http://hoangtam.com/" TargetMode="External"/><Relationship Id="rId19" Type="http://schemas.openxmlformats.org/officeDocument/2006/relationships/hyperlink" Target="http://www.bryair.com.my/" TargetMode="External"/><Relationship Id="rId31" Type="http://schemas.openxmlformats.org/officeDocument/2006/relationships/hyperlink" Target="http://www.unityarch.com/vi/home/" TargetMode="External"/><Relationship Id="rId4" Type="http://schemas.openxmlformats.org/officeDocument/2006/relationships/hyperlink" Target="http://www.lapnguyen.com.vn/" TargetMode="External"/><Relationship Id="rId9" Type="http://schemas.openxmlformats.org/officeDocument/2006/relationships/hyperlink" Target="http://nnvietnam.com/" TargetMode="External"/><Relationship Id="rId14" Type="http://schemas.openxmlformats.org/officeDocument/2006/relationships/hyperlink" Target="http://phuquibdq.com/" TargetMode="External"/><Relationship Id="rId22" Type="http://schemas.openxmlformats.org/officeDocument/2006/relationships/hyperlink" Target="http://www.cc1mekong.com/" TargetMode="External"/><Relationship Id="rId27" Type="http://schemas.openxmlformats.org/officeDocument/2006/relationships/hyperlink" Target="http://www.tt-as.vn/" TargetMode="External"/><Relationship Id="rId30" Type="http://schemas.openxmlformats.org/officeDocument/2006/relationships/hyperlink" Target="http://www.tuanle.com.vn/en/" TargetMode="External"/><Relationship Id="rId35" Type="http://schemas.openxmlformats.org/officeDocument/2006/relationships/hyperlink" Target="http://cdcjsc.vn/en/home.h.html" TargetMode="External"/><Relationship Id="rId8" Type="http://schemas.openxmlformats.org/officeDocument/2006/relationships/hyperlink" Target="http://out-2.com/" TargetMode="External"/><Relationship Id="rId3" Type="http://schemas.openxmlformats.org/officeDocument/2006/relationships/hyperlink" Target="http://bambooali.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6.bin"/><Relationship Id="rId1" Type="http://schemas.openxmlformats.org/officeDocument/2006/relationships/hyperlink" Target="http://comfort.cbe.berkeley.edu/"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7.bin"/><Relationship Id="rId1" Type="http://schemas.openxmlformats.org/officeDocument/2006/relationships/hyperlink" Target="http://www.sengpielaudio.com/calculator-RT60.ht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ertification@vgbc.org.vn"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6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0"/>
  <sheetViews>
    <sheetView topLeftCell="C111" workbookViewId="0">
      <selection activeCell="F117" sqref="F117"/>
    </sheetView>
  </sheetViews>
  <sheetFormatPr defaultColWidth="9.140625" defaultRowHeight="15" x14ac:dyDescent="0.25"/>
  <cols>
    <col min="1" max="1" width="15.42578125" customWidth="1"/>
    <col min="2" max="4" width="8.42578125" customWidth="1"/>
    <col min="5" max="5" width="78.28515625" customWidth="1"/>
    <col min="6" max="6" width="80.7109375" customWidth="1"/>
    <col min="7" max="7" width="19.140625" style="772" customWidth="1"/>
    <col min="8" max="8" width="21.28515625" customWidth="1"/>
  </cols>
  <sheetData>
    <row r="1" spans="1:8" ht="20.25" customHeight="1" x14ac:dyDescent="0.25">
      <c r="B1" s="1343" t="s">
        <v>748</v>
      </c>
      <c r="C1" s="1343"/>
      <c r="D1" s="1343"/>
      <c r="E1" s="444" t="s">
        <v>675</v>
      </c>
      <c r="F1" s="444" t="s">
        <v>674</v>
      </c>
      <c r="G1" s="771"/>
      <c r="H1" s="771" t="s">
        <v>754</v>
      </c>
    </row>
    <row r="2" spans="1:8" ht="24.75" customHeight="1" x14ac:dyDescent="0.25">
      <c r="A2" s="1328" t="s">
        <v>1232</v>
      </c>
      <c r="B2" s="1327" t="s">
        <v>755</v>
      </c>
      <c r="C2" s="1327"/>
      <c r="D2" s="1327"/>
      <c r="E2" s="1277" t="s">
        <v>2441</v>
      </c>
      <c r="F2" s="1277" t="s">
        <v>2442</v>
      </c>
      <c r="G2" s="772" t="s">
        <v>1727</v>
      </c>
      <c r="H2" t="str">
        <f>IF('Project information'!$C$7="Provisional Certification stage",E2,IF('Project information'!$C$7="Full Certification stage",F2,IF('Project information'!$C$7="Select","Select the Submission Stage in Project Information",B2)))</f>
        <v>Select the Submission Stage in Project Information</v>
      </c>
    </row>
    <row r="3" spans="1:8" ht="24.75" customHeight="1" x14ac:dyDescent="0.25">
      <c r="A3" s="1329"/>
      <c r="B3" s="1327" t="s">
        <v>755</v>
      </c>
      <c r="C3" s="1327"/>
      <c r="D3" s="1327"/>
      <c r="E3" s="1277" t="s">
        <v>2440</v>
      </c>
      <c r="F3" s="1277" t="s">
        <v>1621</v>
      </c>
      <c r="G3" s="772" t="s">
        <v>1727</v>
      </c>
      <c r="H3" t="str">
        <f>IF('Project information'!$C$7="Provisional Certification stage",E3,IF('Project information'!$C$7="Full Certification stage",F3,IF('Project information'!$C$7="Select","Select the Submission Stage in Project Information",B3)))</f>
        <v>Select the Submission Stage in Project Information</v>
      </c>
    </row>
    <row r="4" spans="1:8" ht="29.25" customHeight="1" x14ac:dyDescent="0.25">
      <c r="A4" s="1328" t="s">
        <v>1233</v>
      </c>
      <c r="B4" s="1327" t="s">
        <v>755</v>
      </c>
      <c r="C4" s="1327"/>
      <c r="D4" s="1327"/>
      <c r="E4" s="1277" t="s">
        <v>2443</v>
      </c>
      <c r="F4" s="1277" t="s">
        <v>2460</v>
      </c>
      <c r="G4" s="772" t="s">
        <v>1727</v>
      </c>
      <c r="H4" t="str">
        <f>IF('Project information'!$C$7="Provisional Certification stage",E4,IF('Project information'!$C$7="Full Certification stage",F4,IF('Project information'!$C$7="Select","Select the Submission Stage in Project Information",B4)))</f>
        <v>Select the Submission Stage in Project Information</v>
      </c>
    </row>
    <row r="5" spans="1:8" ht="31.5" customHeight="1" x14ac:dyDescent="0.25">
      <c r="A5" s="1337"/>
      <c r="B5" s="1327" t="s">
        <v>755</v>
      </c>
      <c r="C5" s="1327"/>
      <c r="D5" s="1327"/>
      <c r="E5" s="1277" t="s">
        <v>2646</v>
      </c>
      <c r="F5" s="1277" t="s">
        <v>1317</v>
      </c>
      <c r="G5" s="772" t="s">
        <v>1727</v>
      </c>
      <c r="H5" t="str">
        <f>IF('Project information'!$C$7="Provisional Certification stage",E5,IF('Project information'!$C$7="Full Certification stage",F5,IF('Project information'!$C$7="Select","Select the Submission Stage in Project Information",B5)))</f>
        <v>Select the Submission Stage in Project Information</v>
      </c>
    </row>
    <row r="6" spans="1:8" ht="24.75" customHeight="1" x14ac:dyDescent="0.25">
      <c r="A6" s="1329"/>
      <c r="B6" s="1327" t="s">
        <v>755</v>
      </c>
      <c r="C6" s="1327"/>
      <c r="D6" s="1327"/>
      <c r="E6" s="1277" t="s">
        <v>59</v>
      </c>
      <c r="F6" s="1277" t="s">
        <v>1331</v>
      </c>
      <c r="G6" s="772" t="s">
        <v>1727</v>
      </c>
      <c r="H6" t="str">
        <f>IF('Project information'!$C$7="Provisional Certification stage",E6,IF('Project information'!$C$7="Full Certification stage",F6,IF('Project information'!$C$7="Select","Select the Submission Stage in Project Information",B6)))</f>
        <v>Select the Submission Stage in Project Information</v>
      </c>
    </row>
    <row r="7" spans="1:8" ht="29.25" customHeight="1" x14ac:dyDescent="0.25">
      <c r="A7" s="1328" t="s">
        <v>1234</v>
      </c>
      <c r="B7" s="1327" t="s">
        <v>755</v>
      </c>
      <c r="C7" s="1327"/>
      <c r="D7" s="1327"/>
      <c r="E7" s="1277" t="s">
        <v>2444</v>
      </c>
      <c r="F7" s="1277" t="s">
        <v>2459</v>
      </c>
      <c r="G7" s="772" t="s">
        <v>1727</v>
      </c>
      <c r="H7" t="str">
        <f>IF('Project information'!$C$7="Provisional Certification stage",E7,IF('Project information'!$C$7="Full Certification stage",F7,IF('Project information'!$C$7="Select","Select the Submission Stage in Project Information",B7)))</f>
        <v>Select the Submission Stage in Project Information</v>
      </c>
    </row>
    <row r="8" spans="1:8" ht="26.25" customHeight="1" x14ac:dyDescent="0.25">
      <c r="A8" s="1329"/>
      <c r="B8" s="1327" t="s">
        <v>755</v>
      </c>
      <c r="C8" s="1327"/>
      <c r="D8" s="1327"/>
      <c r="E8" s="1277" t="s">
        <v>59</v>
      </c>
      <c r="F8" s="1281" t="s">
        <v>59</v>
      </c>
      <c r="G8" s="772" t="s">
        <v>1727</v>
      </c>
      <c r="H8" t="str">
        <f>IF('Project information'!$C$7="Provisional Certification stage",E8,IF('Project information'!$C$7="Full Certification stage",F8,IF('Project information'!$C$7="Select","Select the Submission Stage in Project Information",B8)))</f>
        <v>Select the Submission Stage in Project Information</v>
      </c>
    </row>
    <row r="9" spans="1:8" ht="32.25" customHeight="1" x14ac:dyDescent="0.25">
      <c r="A9" s="1328" t="s">
        <v>1329</v>
      </c>
      <c r="B9" s="1327" t="s">
        <v>755</v>
      </c>
      <c r="C9" s="1327"/>
      <c r="D9" s="1327"/>
      <c r="E9" s="1277" t="s">
        <v>2647</v>
      </c>
      <c r="F9" s="1277" t="s">
        <v>2458</v>
      </c>
      <c r="G9" s="772" t="s">
        <v>1727</v>
      </c>
      <c r="H9" t="str">
        <f>IF('Project information'!$C$7="Provisional Certification stage",E9,IF('Project information'!$C$7="Full Certification stage",F9,IF('Project information'!$C$7="Select","Select the Submission Stage in Project Information",B9)))</f>
        <v>Select the Submission Stage in Project Information</v>
      </c>
    </row>
    <row r="10" spans="1:8" ht="24.75" customHeight="1" x14ac:dyDescent="0.25">
      <c r="A10" s="1337"/>
      <c r="B10" s="1327" t="s">
        <v>755</v>
      </c>
      <c r="C10" s="1327"/>
      <c r="D10" s="1327"/>
      <c r="E10" s="1277" t="s">
        <v>2648</v>
      </c>
      <c r="F10" s="1277" t="s">
        <v>2650</v>
      </c>
      <c r="G10" s="772" t="s">
        <v>1727</v>
      </c>
      <c r="H10" t="str">
        <f>IF('Project information'!$C$7="Provisional Certification stage",E10,IF('Project information'!$C$7="Full Certification stage",F10,IF('Project information'!$C$7="Select","Select the Submission Stage in Project Information",B10)))</f>
        <v>Select the Submission Stage in Project Information</v>
      </c>
    </row>
    <row r="11" spans="1:8" ht="24.75" customHeight="1" x14ac:dyDescent="0.25">
      <c r="A11" s="1329"/>
      <c r="B11" s="1327" t="s">
        <v>755</v>
      </c>
      <c r="C11" s="1327"/>
      <c r="D11" s="1327"/>
      <c r="E11" s="1277" t="s">
        <v>59</v>
      </c>
      <c r="F11" s="1277" t="s">
        <v>2651</v>
      </c>
      <c r="G11" s="772" t="s">
        <v>1727</v>
      </c>
      <c r="H11" t="str">
        <f>IF('Project information'!$C$7="Provisional Certification stage",E11,IF('Project information'!$C$7="Full Certification stage",F11,IF('Project information'!$C$7="Select","Select the Submission Stage in Project Information",B11)))</f>
        <v>Select the Submission Stage in Project Information</v>
      </c>
    </row>
    <row r="12" spans="1:8" ht="32.25" customHeight="1" x14ac:dyDescent="0.25">
      <c r="A12" s="1328" t="s">
        <v>1330</v>
      </c>
      <c r="B12" s="1327" t="s">
        <v>755</v>
      </c>
      <c r="C12" s="1327"/>
      <c r="D12" s="1327"/>
      <c r="E12" s="1277" t="s">
        <v>2649</v>
      </c>
      <c r="F12" s="1277" t="s">
        <v>2447</v>
      </c>
      <c r="G12" s="772" t="s">
        <v>1727</v>
      </c>
      <c r="H12" t="str">
        <f>IF('Project information'!$C$7="Provisional Certification stage",E12,IF('Project information'!$C$7="Full Certification stage",F12,IF('Project information'!$C$7="Select","Select the Submission Stage in Project Information",B12)))</f>
        <v>Select the Submission Stage in Project Information</v>
      </c>
    </row>
    <row r="13" spans="1:8" ht="34.5" customHeight="1" x14ac:dyDescent="0.25">
      <c r="A13" s="1329"/>
      <c r="B13" s="1327" t="s">
        <v>755</v>
      </c>
      <c r="C13" s="1327"/>
      <c r="D13" s="1327"/>
      <c r="E13" s="1277" t="s">
        <v>59</v>
      </c>
      <c r="F13" s="1281" t="s">
        <v>2457</v>
      </c>
      <c r="G13" s="772" t="s">
        <v>1727</v>
      </c>
      <c r="H13" t="str">
        <f>IF('Project information'!$C$7="Provisional Certification stage",E13,IF('Project information'!$C$7="Full Certification stage",F13,IF('Project information'!$C$7="Select","Select the Submission Stage in Project Information",B13)))</f>
        <v>Select the Submission Stage in Project Information</v>
      </c>
    </row>
    <row r="14" spans="1:8" ht="24.75" customHeight="1" x14ac:dyDescent="0.25">
      <c r="A14" s="1328" t="s">
        <v>1244</v>
      </c>
      <c r="B14" s="1327" t="s">
        <v>755</v>
      </c>
      <c r="C14" s="1327"/>
      <c r="D14" s="1327"/>
      <c r="E14" s="1277" t="s">
        <v>2445</v>
      </c>
      <c r="F14" s="1277" t="s">
        <v>2456</v>
      </c>
      <c r="G14" s="772" t="s">
        <v>1727</v>
      </c>
      <c r="H14" t="str">
        <f>IF('Project information'!$C$7="Provisional Certification stage",E14,IF('Project information'!$C$7="Full Certification stage",F14,IF('Project information'!$C$7="Select","Select the Submission Stage in Project Information",B14)))</f>
        <v>Select the Submission Stage in Project Information</v>
      </c>
    </row>
    <row r="15" spans="1:8" ht="24.75" customHeight="1" x14ac:dyDescent="0.25">
      <c r="A15" s="1329"/>
      <c r="B15" s="1327" t="s">
        <v>755</v>
      </c>
      <c r="C15" s="1327"/>
      <c r="D15" s="1327"/>
      <c r="E15" s="1277" t="s">
        <v>59</v>
      </c>
      <c r="F15" s="1277" t="s">
        <v>59</v>
      </c>
      <c r="G15" s="772" t="s">
        <v>1727</v>
      </c>
      <c r="H15" t="str">
        <f>IF('Project information'!$C$7="Provisional Certification stage",E15,IF('Project information'!$C$7="Full Certification stage",F15,IF('Project information'!$C$7="Select","Select the Submission Stage in Project Information",B15)))</f>
        <v>Select the Submission Stage in Project Information</v>
      </c>
    </row>
    <row r="16" spans="1:8" ht="24.75" customHeight="1" x14ac:dyDescent="0.25">
      <c r="A16" s="1328" t="s">
        <v>1244</v>
      </c>
      <c r="B16" s="1327" t="s">
        <v>755</v>
      </c>
      <c r="C16" s="1327"/>
      <c r="D16" s="1327"/>
      <c r="E16" s="1277" t="s">
        <v>2446</v>
      </c>
      <c r="F16" s="1277" t="s">
        <v>2455</v>
      </c>
      <c r="G16" s="772" t="s">
        <v>1727</v>
      </c>
      <c r="H16" t="str">
        <f>IF('Project information'!$C$7="Provisional Certification stage",E16,IF('Project information'!$C$7="Full Certification stage",F16,IF('Project information'!$C$7="Select","Select the Submission Stage in Project Information",B16)))</f>
        <v>Select the Submission Stage in Project Information</v>
      </c>
    </row>
    <row r="17" spans="1:8" ht="24.75" customHeight="1" x14ac:dyDescent="0.25">
      <c r="A17" s="1329"/>
      <c r="B17" s="1327" t="s">
        <v>755</v>
      </c>
      <c r="C17" s="1327"/>
      <c r="D17" s="1327"/>
      <c r="E17" s="1277" t="s">
        <v>59</v>
      </c>
      <c r="F17" s="1277" t="s">
        <v>59</v>
      </c>
      <c r="G17" s="772" t="s">
        <v>1727</v>
      </c>
      <c r="H17" t="str">
        <f>IF('Project information'!$C$7="Provisional Certification stage",E17,IF('Project information'!$C$7="Full Certification stage",F17,IF('Project information'!$C$7="Select","Select the Submission Stage in Project Information",B17)))</f>
        <v>Select the Submission Stage in Project Information</v>
      </c>
    </row>
    <row r="18" spans="1:8" ht="35.25" customHeight="1" x14ac:dyDescent="0.25">
      <c r="A18" s="1328" t="s">
        <v>1244</v>
      </c>
      <c r="B18" s="1327" t="s">
        <v>755</v>
      </c>
      <c r="C18" s="1327"/>
      <c r="D18" s="1327"/>
      <c r="E18" s="1277" t="s">
        <v>2521</v>
      </c>
      <c r="F18" s="1277" t="s">
        <v>2106</v>
      </c>
      <c r="G18" s="772" t="s">
        <v>1727</v>
      </c>
      <c r="H18" t="str">
        <f>IF('Project information'!$C$7="Provisional Certification stage",E18,IF('Project information'!$C$7="Full Certification stage",F18,IF('Project information'!$C$7="Select","Select the Submission Stage in Project Information",B18)))</f>
        <v>Select the Submission Stage in Project Information</v>
      </c>
    </row>
    <row r="19" spans="1:8" ht="24.75" customHeight="1" x14ac:dyDescent="0.25">
      <c r="A19" s="1329"/>
      <c r="B19" s="1327" t="s">
        <v>755</v>
      </c>
      <c r="C19" s="1327"/>
      <c r="D19" s="1327"/>
      <c r="E19" s="1277" t="s">
        <v>59</v>
      </c>
      <c r="F19" s="1277" t="s">
        <v>59</v>
      </c>
      <c r="G19" s="772" t="s">
        <v>1727</v>
      </c>
      <c r="H19" t="str">
        <f>IF('Project information'!$C$7="Provisional Certification stage",E19,IF('Project information'!$C$7="Full Certification stage",F19,IF('Project information'!$C$7="Select","Select the Submission Stage in Project Information",B19)))</f>
        <v>Select the Submission Stage in Project Information</v>
      </c>
    </row>
    <row r="20" spans="1:8" ht="28.5" customHeight="1" x14ac:dyDescent="0.25">
      <c r="A20" s="1328" t="s">
        <v>985</v>
      </c>
      <c r="B20" s="1327" t="s">
        <v>755</v>
      </c>
      <c r="C20" s="1327"/>
      <c r="D20" s="1327"/>
      <c r="E20" s="1277" t="s">
        <v>2559</v>
      </c>
      <c r="F20" s="1277" t="s">
        <v>2544</v>
      </c>
      <c r="G20" s="772" t="s">
        <v>1727</v>
      </c>
      <c r="H20" t="str">
        <f>IF('Project information'!$C$7="Provisional Certification stage",E20,IF('Project information'!$C$7="Full Certification stage",F20,IF('Project information'!$C$7="Select","Select the Submission Stage in Project Information",B20)))</f>
        <v>Select the Submission Stage in Project Information</v>
      </c>
    </row>
    <row r="21" spans="1:8" ht="28.5" customHeight="1" x14ac:dyDescent="0.25">
      <c r="A21" s="1337"/>
      <c r="B21" s="1327" t="s">
        <v>755</v>
      </c>
      <c r="C21" s="1327"/>
      <c r="D21" s="1327"/>
      <c r="E21" s="1277" t="s">
        <v>2560</v>
      </c>
      <c r="F21" s="1277" t="s">
        <v>2561</v>
      </c>
      <c r="G21" s="772" t="s">
        <v>1727</v>
      </c>
      <c r="H21" t="str">
        <f>IF('Project information'!$C$7="Provisional Certification stage",E21,IF('Project information'!$C$7="Full Certification stage",F21,IF('Project information'!$C$7="Select","Select the Submission Stage in Project Information",B21)))</f>
        <v>Select the Submission Stage in Project Information</v>
      </c>
    </row>
    <row r="22" spans="1:8" ht="21" customHeight="1" x14ac:dyDescent="0.25">
      <c r="A22" s="1329"/>
      <c r="B22" s="1327" t="s">
        <v>755</v>
      </c>
      <c r="C22" s="1327"/>
      <c r="D22" s="1327"/>
      <c r="E22" s="1277" t="s">
        <v>59</v>
      </c>
      <c r="F22" s="1277" t="s">
        <v>2545</v>
      </c>
      <c r="G22" s="772" t="s">
        <v>1727</v>
      </c>
      <c r="H22" t="str">
        <f>IF('Project information'!$C$7="Provisional Certification stage",E22,IF('Project information'!$C$7="Full Certification stage",F22,IF('Project information'!$C$7="Select","Select the Submission Stage in Project Information",B22)))</f>
        <v>Select the Submission Stage in Project Information</v>
      </c>
    </row>
    <row r="23" spans="1:8" ht="25.5" x14ac:dyDescent="0.25">
      <c r="A23" s="1328" t="s">
        <v>986</v>
      </c>
      <c r="B23" s="1327" t="s">
        <v>755</v>
      </c>
      <c r="C23" s="1327"/>
      <c r="D23" s="1327"/>
      <c r="E23" s="1277" t="s">
        <v>2546</v>
      </c>
      <c r="F23" s="1277" t="s">
        <v>2547</v>
      </c>
      <c r="G23" s="772" t="s">
        <v>1727</v>
      </c>
      <c r="H23" t="str">
        <f>IF('Project information'!$C$7="Provisional Certification stage",E23,IF('Project information'!$C$7="Full Certification stage",F23,IF('Project information'!$C$7="Select","Select the Submission Stage in Project Information",B23)))</f>
        <v>Select the Submission Stage in Project Information</v>
      </c>
    </row>
    <row r="24" spans="1:8" ht="34.5" customHeight="1" x14ac:dyDescent="0.25">
      <c r="A24" s="1329"/>
      <c r="B24" s="1327" t="s">
        <v>755</v>
      </c>
      <c r="C24" s="1327"/>
      <c r="D24" s="1327"/>
      <c r="E24" s="1277" t="s">
        <v>59</v>
      </c>
      <c r="F24" s="1281" t="s">
        <v>2556</v>
      </c>
      <c r="G24" s="772" t="s">
        <v>1727</v>
      </c>
      <c r="H24" t="str">
        <f>IF('Project information'!$C$7="Provisional Certification stage",E24,IF('Project information'!$C$7="Full Certification stage",F24,IF('Project information'!$C$7="Select","Select the Submission Stage in Project Information",B24)))</f>
        <v>Select the Submission Stage in Project Information</v>
      </c>
    </row>
    <row r="25" spans="1:8" ht="33.75" customHeight="1" x14ac:dyDescent="0.25">
      <c r="A25" s="1328" t="s">
        <v>988</v>
      </c>
      <c r="B25" s="1327" t="s">
        <v>755</v>
      </c>
      <c r="C25" s="1327"/>
      <c r="D25" s="1327"/>
      <c r="E25" s="1277" t="s">
        <v>2548</v>
      </c>
      <c r="F25" s="1277" t="s">
        <v>2555</v>
      </c>
      <c r="G25" s="772" t="s">
        <v>1727</v>
      </c>
      <c r="H25" t="str">
        <f>IF('Project information'!$C$7="Provisional Certification stage",E25,IF('Project information'!$C$7="Full Certification stage",F25,IF('Project information'!$C$7="Select","Select the Submission Stage in Project Information",B25)))</f>
        <v>Select the Submission Stage in Project Information</v>
      </c>
    </row>
    <row r="26" spans="1:8" ht="34.5" customHeight="1" x14ac:dyDescent="0.25">
      <c r="A26" s="1329"/>
      <c r="B26" s="1327" t="s">
        <v>755</v>
      </c>
      <c r="C26" s="1327"/>
      <c r="D26" s="1327"/>
      <c r="E26" s="1277" t="s">
        <v>59</v>
      </c>
      <c r="F26" s="1281" t="s">
        <v>2557</v>
      </c>
      <c r="G26" s="772" t="s">
        <v>1727</v>
      </c>
      <c r="H26" t="str">
        <f>IF('Project information'!$C$7="Provisional Certification stage",E26,IF('Project information'!$C$7="Full Certification stage",F26,IF('Project information'!$C$7="Select","Select the Submission Stage in Project Information",B26)))</f>
        <v>Select the Submission Stage in Project Information</v>
      </c>
    </row>
    <row r="27" spans="1:8" ht="25.5" x14ac:dyDescent="0.25">
      <c r="A27" s="1328" t="s">
        <v>987</v>
      </c>
      <c r="B27" s="1327" t="s">
        <v>755</v>
      </c>
      <c r="C27" s="1327"/>
      <c r="D27" s="1327"/>
      <c r="E27" s="1277" t="s">
        <v>2558</v>
      </c>
      <c r="F27" s="1277" t="s">
        <v>2562</v>
      </c>
      <c r="G27" s="772" t="s">
        <v>1727</v>
      </c>
      <c r="H27" t="str">
        <f>IF('Project information'!$C$7="Provisional Certification stage",E27,IF('Project information'!$C$7="Full Certification stage",F27,IF('Project information'!$C$7="Select","Select the Submission Stage in Project Information",B27)))</f>
        <v>Select the Submission Stage in Project Information</v>
      </c>
    </row>
    <row r="28" spans="1:8" ht="25.5" x14ac:dyDescent="0.25">
      <c r="A28" s="1329"/>
      <c r="B28" s="1327" t="s">
        <v>755</v>
      </c>
      <c r="C28" s="1327"/>
      <c r="D28" s="1327"/>
      <c r="E28" s="1277" t="s">
        <v>59</v>
      </c>
      <c r="F28" s="1281" t="s">
        <v>2563</v>
      </c>
      <c r="G28" s="772" t="s">
        <v>1727</v>
      </c>
      <c r="H28" t="str">
        <f>IF('Project information'!$C$7="Provisional Certification stage",E28,IF('Project information'!$C$7="Full Certification stage",F28,IF('Project information'!$C$7="Select","Select the Submission Stage in Project Information",B28)))</f>
        <v>Select the Submission Stage in Project Information</v>
      </c>
    </row>
    <row r="29" spans="1:8" ht="30.75" customHeight="1" x14ac:dyDescent="0.25">
      <c r="A29" s="1328" t="s">
        <v>757</v>
      </c>
      <c r="B29" s="1327" t="s">
        <v>755</v>
      </c>
      <c r="C29" s="1327"/>
      <c r="D29" s="1327"/>
      <c r="E29" s="1277" t="s">
        <v>2522</v>
      </c>
      <c r="F29" s="1281" t="s">
        <v>2641</v>
      </c>
      <c r="G29" s="772" t="s">
        <v>1727</v>
      </c>
      <c r="H29" t="str">
        <f>IF('Project information'!$C$7="Provisional Certification stage",E29,IF('Project information'!$C$7="Full Certification stage",F29,IF('Project information'!$C$7="Select","Select the Submission Stage in Project Information",B29)))</f>
        <v>Select the Submission Stage in Project Information</v>
      </c>
    </row>
    <row r="30" spans="1:8" ht="21.75" customHeight="1" x14ac:dyDescent="0.25">
      <c r="A30" s="1329"/>
      <c r="B30" s="1327" t="s">
        <v>755</v>
      </c>
      <c r="C30" s="1327"/>
      <c r="D30" s="1327"/>
      <c r="E30" s="1278" t="s">
        <v>59</v>
      </c>
      <c r="F30" s="1281" t="s">
        <v>2642</v>
      </c>
      <c r="G30" s="772" t="s">
        <v>1727</v>
      </c>
      <c r="H30" t="str">
        <f>IF('Project information'!$C$7="Provisional Certification stage",E30,IF('Project information'!$C$7="Full Certification stage",F30,IF('Project information'!$C$7="Select","Select the Submission Stage in Project Information",B30)))</f>
        <v>Select the Submission Stage in Project Information</v>
      </c>
    </row>
    <row r="31" spans="1:8" ht="22.5" customHeight="1" x14ac:dyDescent="0.25">
      <c r="A31" s="1344" t="s">
        <v>758</v>
      </c>
      <c r="B31" s="1327" t="s">
        <v>755</v>
      </c>
      <c r="C31" s="1327"/>
      <c r="D31" s="1327"/>
      <c r="E31" s="1277" t="s">
        <v>2451</v>
      </c>
      <c r="F31" s="1277" t="s">
        <v>2644</v>
      </c>
      <c r="G31" s="772" t="s">
        <v>1727</v>
      </c>
      <c r="H31" t="str">
        <f>IF('Project information'!$C$7="Provisional Certification stage",E31,IF('Project information'!$C$7="Full Certification stage",F31,IF('Project information'!$C$7="Select","Select the Submission Stage in Project Information",B31)))</f>
        <v>Select the Submission Stage in Project Information</v>
      </c>
    </row>
    <row r="32" spans="1:8" ht="22.5" customHeight="1" x14ac:dyDescent="0.25">
      <c r="A32" s="1345"/>
      <c r="B32" s="1332" t="s">
        <v>755</v>
      </c>
      <c r="C32" s="1333"/>
      <c r="D32" s="1334"/>
      <c r="E32" s="1277" t="s">
        <v>2523</v>
      </c>
      <c r="F32" s="1277" t="s">
        <v>2643</v>
      </c>
      <c r="G32" s="772" t="s">
        <v>1727</v>
      </c>
      <c r="H32" t="str">
        <f>IF('Project information'!$C$7="Provisional Certification stage",E32,IF('Project information'!$C$7="Full Certification stage",F32,IF('Project information'!$C$7="Select","Select the Submission Stage in Project Information",B32)))</f>
        <v>Select the Submission Stage in Project Information</v>
      </c>
    </row>
    <row r="33" spans="1:8" ht="21" customHeight="1" x14ac:dyDescent="0.25">
      <c r="A33" s="1346"/>
      <c r="B33" s="1332" t="s">
        <v>755</v>
      </c>
      <c r="C33" s="1333"/>
      <c r="D33" s="1334"/>
      <c r="E33" s="1278" t="s">
        <v>59</v>
      </c>
      <c r="F33" s="1277" t="s">
        <v>2645</v>
      </c>
      <c r="G33" s="772" t="s">
        <v>1727</v>
      </c>
      <c r="H33" t="str">
        <f>IF('Project information'!$C$7="Provisional Certification stage",E33,IF('Project information'!$C$7="Full Certification stage",F33,IF('Project information'!$C$7="Select","Select the Submission Stage in Project Information",B33)))</f>
        <v>Select the Submission Stage in Project Information</v>
      </c>
    </row>
    <row r="34" spans="1:8" ht="25.5" x14ac:dyDescent="0.25">
      <c r="A34" s="1328" t="s">
        <v>751</v>
      </c>
      <c r="B34" s="1327" t="s">
        <v>755</v>
      </c>
      <c r="C34" s="1327"/>
      <c r="D34" s="1327"/>
      <c r="E34" s="1277" t="s">
        <v>2637</v>
      </c>
      <c r="F34" s="1277" t="s">
        <v>2639</v>
      </c>
      <c r="G34" s="772" t="s">
        <v>1727</v>
      </c>
      <c r="H34" t="str">
        <f>IF('Project information'!$C$7="Provisional Certification stage",E34,IF('Project information'!$C$7="Full Certification stage",F34,IF('Project information'!$C$7="Select","Select the Submission Stage in Project Information",B34)))</f>
        <v>Select the Submission Stage in Project Information</v>
      </c>
    </row>
    <row r="35" spans="1:8" ht="23.25" customHeight="1" x14ac:dyDescent="0.25">
      <c r="A35" s="1329"/>
      <c r="B35" s="1327" t="s">
        <v>755</v>
      </c>
      <c r="C35" s="1327"/>
      <c r="D35" s="1327"/>
      <c r="E35" s="1278" t="s">
        <v>59</v>
      </c>
      <c r="F35" s="1277" t="s">
        <v>2640</v>
      </c>
      <c r="G35" s="772" t="s">
        <v>1727</v>
      </c>
      <c r="H35" t="str">
        <f>IF('Project information'!$C$7="Provisional Certification stage",E35,IF('Project information'!$C$7="Full Certification stage",F35,IF('Project information'!$C$7="Select","Select the Submission Stage in Project Information",B35)))</f>
        <v>Select the Submission Stage in Project Information</v>
      </c>
    </row>
    <row r="36" spans="1:8" ht="26.25" customHeight="1" x14ac:dyDescent="0.25">
      <c r="A36" s="1328" t="s">
        <v>752</v>
      </c>
      <c r="B36" s="1327" t="s">
        <v>755</v>
      </c>
      <c r="C36" s="1327"/>
      <c r="D36" s="1327"/>
      <c r="E36" s="1277" t="s">
        <v>2450</v>
      </c>
      <c r="F36" s="1277" t="s">
        <v>2463</v>
      </c>
      <c r="G36" s="772" t="s">
        <v>1727</v>
      </c>
      <c r="H36" t="str">
        <f>IF('Project information'!$C$7="Provisional Certification stage",E36,IF('Project information'!$C$7="Full Certification stage",F36,IF('Project information'!$C$7="Select","Select the Submission Stage in Project Information",B36)))</f>
        <v>Select the Submission Stage in Project Information</v>
      </c>
    </row>
    <row r="37" spans="1:8" ht="38.25" x14ac:dyDescent="0.25">
      <c r="A37" s="1329"/>
      <c r="B37" s="1327" t="s">
        <v>755</v>
      </c>
      <c r="C37" s="1327"/>
      <c r="D37" s="1327"/>
      <c r="E37" s="1278" t="s">
        <v>59</v>
      </c>
      <c r="F37" s="1277" t="s">
        <v>1316</v>
      </c>
      <c r="G37" s="772" t="s">
        <v>1727</v>
      </c>
      <c r="H37" t="str">
        <f>IF('Project information'!$C$7="Provisional Certification stage",E37,IF('Project information'!$C$7="Full Certification stage",F37,IF('Project information'!$C$7="Select","Select the Submission Stage in Project Information",B37)))</f>
        <v>Select the Submission Stage in Project Information</v>
      </c>
    </row>
    <row r="38" spans="1:8" ht="27" customHeight="1" x14ac:dyDescent="0.25">
      <c r="A38" s="1328" t="s">
        <v>2420</v>
      </c>
      <c r="B38" s="1327" t="s">
        <v>755</v>
      </c>
      <c r="C38" s="1327"/>
      <c r="D38" s="1327"/>
      <c r="E38" s="1277" t="s">
        <v>2638</v>
      </c>
      <c r="F38" s="1277" t="s">
        <v>2448</v>
      </c>
      <c r="G38" s="772" t="s">
        <v>1727</v>
      </c>
      <c r="H38" t="str">
        <f>IF('Project information'!$C$7="Provisional Certification stage",E38,IF('Project information'!$C$7="Full Certification stage",F38,IF('Project information'!$C$7="Select","Select the Submission Stage in Project Information",B38)))</f>
        <v>Select the Submission Stage in Project Information</v>
      </c>
    </row>
    <row r="39" spans="1:8" ht="25.5" x14ac:dyDescent="0.25">
      <c r="A39" s="1329"/>
      <c r="B39" s="1327" t="s">
        <v>755</v>
      </c>
      <c r="C39" s="1327"/>
      <c r="D39" s="1327"/>
      <c r="E39" s="1278" t="s">
        <v>59</v>
      </c>
      <c r="F39" s="1277" t="s">
        <v>2449</v>
      </c>
      <c r="G39" s="772" t="s">
        <v>1727</v>
      </c>
      <c r="H39" t="str">
        <f>IF('Project information'!$C$7="Provisional Certification stage",E39,IF('Project information'!$C$7="Full Certification stage",F39,IF('Project information'!$C$7="Select","Select the Submission Stage in Project Information",B39)))</f>
        <v>Select the Submission Stage in Project Information</v>
      </c>
    </row>
    <row r="40" spans="1:8" ht="29.25" customHeight="1" x14ac:dyDescent="0.25">
      <c r="A40" s="1341" t="s">
        <v>1692</v>
      </c>
      <c r="B40" s="1327" t="s">
        <v>755</v>
      </c>
      <c r="C40" s="1327"/>
      <c r="D40" s="1327"/>
      <c r="E40" s="1277" t="s">
        <v>2465</v>
      </c>
      <c r="F40" s="1277" t="s">
        <v>2466</v>
      </c>
      <c r="G40" s="772" t="s">
        <v>1727</v>
      </c>
      <c r="H40" t="str">
        <f>IF('Project information'!$C$7="Provisional Certification stage",E40,IF('Project information'!$C$7="Full Certification stage",F40,IF('Project information'!$C$7="Select","Select the Submission Stage in Project Information",B40)))</f>
        <v>Select the Submission Stage in Project Information</v>
      </c>
    </row>
    <row r="41" spans="1:8" ht="45" customHeight="1" x14ac:dyDescent="0.25">
      <c r="A41" s="1355"/>
      <c r="B41" s="1327" t="s">
        <v>755</v>
      </c>
      <c r="C41" s="1327"/>
      <c r="D41" s="1327"/>
      <c r="E41" s="1277" t="s">
        <v>2570</v>
      </c>
      <c r="F41" s="1277" t="s">
        <v>2467</v>
      </c>
      <c r="G41" s="772" t="s">
        <v>1727</v>
      </c>
      <c r="H41" t="str">
        <f>IF('Project information'!$C$7="Provisional Certification stage",E41,IF('Project information'!$C$7="Full Certification stage",F41,IF('Project information'!$C$7="Select","Select the Submission Stage in Project Information",B41)))</f>
        <v>Select the Submission Stage in Project Information</v>
      </c>
    </row>
    <row r="42" spans="1:8" ht="37.5" customHeight="1" x14ac:dyDescent="0.25">
      <c r="A42" s="1355"/>
      <c r="B42" s="1327" t="s">
        <v>755</v>
      </c>
      <c r="C42" s="1327"/>
      <c r="D42" s="1327"/>
      <c r="E42" s="1278" t="s">
        <v>59</v>
      </c>
      <c r="F42" s="1277" t="s">
        <v>2468</v>
      </c>
      <c r="G42" s="772" t="s">
        <v>1727</v>
      </c>
      <c r="H42" t="str">
        <f>IF('Project information'!$C$7="Provisional Certification stage",E42,IF('Project information'!$C$7="Full Certification stage",F42,IF('Project information'!$C$7="Select","Select the Submission Stage in Project Information",B42)))</f>
        <v>Select the Submission Stage in Project Information</v>
      </c>
    </row>
    <row r="43" spans="1:8" ht="49.5" customHeight="1" x14ac:dyDescent="0.25">
      <c r="A43" s="1341" t="s">
        <v>2464</v>
      </c>
      <c r="B43" s="1327" t="s">
        <v>755</v>
      </c>
      <c r="C43" s="1327"/>
      <c r="D43" s="1327"/>
      <c r="E43" s="1277" t="s">
        <v>2572</v>
      </c>
      <c r="F43" s="1277" t="s">
        <v>2573</v>
      </c>
      <c r="G43" s="772" t="s">
        <v>1727</v>
      </c>
      <c r="H43" t="str">
        <f>IF('Project information'!$C$7="Provisional Certification stage",E43,IF('Project information'!$C$7="Full Certification stage",F43,IF('Project information'!$C$7="Select","Select the Submission Stage in Project Information",B43)))</f>
        <v>Select the Submission Stage in Project Information</v>
      </c>
    </row>
    <row r="44" spans="1:8" ht="37.5" customHeight="1" x14ac:dyDescent="0.25">
      <c r="A44" s="1342"/>
      <c r="B44" s="1327" t="s">
        <v>755</v>
      </c>
      <c r="C44" s="1327"/>
      <c r="D44" s="1327"/>
      <c r="E44" s="1278" t="s">
        <v>59</v>
      </c>
      <c r="F44" s="1278" t="s">
        <v>59</v>
      </c>
      <c r="G44" s="772" t="s">
        <v>1727</v>
      </c>
      <c r="H44" t="str">
        <f>IF('Project information'!$C$7="Provisional Certification stage",E44,IF('Project information'!$C$7="Full Certification stage",F44,IF('Project information'!$C$7="Select","Select the Submission Stage in Project Information",B44)))</f>
        <v>Select the Submission Stage in Project Information</v>
      </c>
    </row>
    <row r="45" spans="1:8" ht="42.75" customHeight="1" x14ac:dyDescent="0.25">
      <c r="A45" s="1341" t="s">
        <v>1693</v>
      </c>
      <c r="B45" s="1327" t="s">
        <v>755</v>
      </c>
      <c r="C45" s="1327"/>
      <c r="D45" s="1327"/>
      <c r="E45" s="1277" t="s">
        <v>2574</v>
      </c>
      <c r="F45" s="1277" t="s">
        <v>2577</v>
      </c>
      <c r="G45" s="772" t="s">
        <v>1727</v>
      </c>
      <c r="H45" t="str">
        <f>IF('Project information'!$C$7="Provisional Certification stage",E45,IF('Project information'!$C$7="Full Certification stage",F45,IF('Project information'!$C$7="Select","Select the Submission Stage in Project Information",B45)))</f>
        <v>Select the Submission Stage in Project Information</v>
      </c>
    </row>
    <row r="46" spans="1:8" ht="37.5" customHeight="1" x14ac:dyDescent="0.25">
      <c r="A46" s="1355"/>
      <c r="B46" s="1327" t="s">
        <v>755</v>
      </c>
      <c r="C46" s="1327"/>
      <c r="D46" s="1327"/>
      <c r="E46" s="1277" t="s">
        <v>2575</v>
      </c>
      <c r="F46" s="1277" t="s">
        <v>2580</v>
      </c>
      <c r="G46" s="772" t="s">
        <v>1727</v>
      </c>
      <c r="H46" t="str">
        <f>IF('Project information'!$C$7="Provisional Certification stage",E46,IF('Project information'!$C$7="Full Certification stage",F46,IF('Project information'!$C$7="Select","Select the Submission Stage in Project Information",B46)))</f>
        <v>Select the Submission Stage in Project Information</v>
      </c>
    </row>
    <row r="47" spans="1:8" ht="37.5" customHeight="1" x14ac:dyDescent="0.25">
      <c r="A47" s="1342"/>
      <c r="B47" s="1327" t="s">
        <v>755</v>
      </c>
      <c r="C47" s="1327"/>
      <c r="D47" s="1327"/>
      <c r="E47" s="1278" t="s">
        <v>59</v>
      </c>
      <c r="F47" s="1277" t="s">
        <v>2578</v>
      </c>
      <c r="G47" s="772" t="s">
        <v>1727</v>
      </c>
      <c r="H47" t="str">
        <f>IF('Project information'!$C$7="Provisional Certification stage",E47,IF('Project information'!$C$7="Full Certification stage",F47,IF('Project information'!$C$7="Select","Select the Submission Stage in Project Information",B47)))</f>
        <v>Select the Submission Stage in Project Information</v>
      </c>
    </row>
    <row r="48" spans="1:8" ht="38.25" customHeight="1" x14ac:dyDescent="0.25">
      <c r="A48" s="1341" t="s">
        <v>1694</v>
      </c>
      <c r="B48" s="1327" t="s">
        <v>755</v>
      </c>
      <c r="C48" s="1327"/>
      <c r="D48" s="1327"/>
      <c r="E48" s="1277" t="s">
        <v>2576</v>
      </c>
      <c r="F48" s="1277" t="s">
        <v>2579</v>
      </c>
      <c r="G48" s="772" t="s">
        <v>1727</v>
      </c>
      <c r="H48" t="str">
        <f>IF('Project information'!$C$7="Provisional Certification stage",E48,IF('Project information'!$C$7="Full Certification stage",F48,IF('Project information'!$C$7="Select","Select the Submission Stage in Project Information",B48)))</f>
        <v>Select the Submission Stage in Project Information</v>
      </c>
    </row>
    <row r="49" spans="1:8" ht="33" customHeight="1" x14ac:dyDescent="0.25">
      <c r="A49" s="1342"/>
      <c r="B49" s="1327" t="s">
        <v>755</v>
      </c>
      <c r="C49" s="1327"/>
      <c r="D49" s="1327"/>
      <c r="E49" s="1278" t="s">
        <v>59</v>
      </c>
      <c r="F49" s="1277" t="s">
        <v>2581</v>
      </c>
      <c r="G49" s="772" t="s">
        <v>1727</v>
      </c>
      <c r="H49" t="str">
        <f>IF('Project information'!$C$7="Provisional Certification stage",E49,IF('Project information'!$C$7="Full Certification stage",F49,IF('Project information'!$C$7="Select","Select the Submission Stage in Project Information",B49)))</f>
        <v>Select the Submission Stage in Project Information</v>
      </c>
    </row>
    <row r="50" spans="1:8" ht="22.5" customHeight="1" x14ac:dyDescent="0.25">
      <c r="A50" s="1341" t="s">
        <v>351</v>
      </c>
      <c r="B50" s="1327" t="s">
        <v>755</v>
      </c>
      <c r="C50" s="1327"/>
      <c r="D50" s="1327"/>
      <c r="E50" s="1277" t="s">
        <v>2585</v>
      </c>
      <c r="F50" s="1277" t="s">
        <v>2586</v>
      </c>
      <c r="G50" s="772" t="s">
        <v>1727</v>
      </c>
      <c r="H50" t="str">
        <f>IF('Project information'!$C$7="Provisional Certification stage",E50,IF('Project information'!$C$7="Full Certification stage",F50,IF('Project information'!$C$7="Select","Select the Submission Stage in Project Information",B50)))</f>
        <v>Select the Submission Stage in Project Information</v>
      </c>
    </row>
    <row r="51" spans="1:8" ht="22.5" customHeight="1" x14ac:dyDescent="0.25">
      <c r="A51" s="1342"/>
      <c r="B51" s="1327" t="s">
        <v>755</v>
      </c>
      <c r="C51" s="1327"/>
      <c r="D51" s="1327"/>
      <c r="E51" s="1277" t="s">
        <v>59</v>
      </c>
      <c r="F51" s="1277" t="s">
        <v>2365</v>
      </c>
      <c r="G51" s="772" t="s">
        <v>1727</v>
      </c>
      <c r="H51" t="str">
        <f>IF('Project information'!$C$7="Provisional Certification stage",E51,IF('Project information'!$C$7="Full Certification stage",F51,IF('Project information'!$C$7="Select","Select the Submission Stage in Project Information",B51)))</f>
        <v>Select the Submission Stage in Project Information</v>
      </c>
    </row>
    <row r="52" spans="1:8" ht="30" customHeight="1" x14ac:dyDescent="0.25">
      <c r="A52" s="1349" t="s">
        <v>21</v>
      </c>
      <c r="B52" s="1347" t="s">
        <v>755</v>
      </c>
      <c r="C52" s="1347"/>
      <c r="D52" s="1347"/>
      <c r="E52" s="1248" t="s">
        <v>2358</v>
      </c>
      <c r="F52" s="1248" t="s">
        <v>1301</v>
      </c>
      <c r="G52" s="772" t="s">
        <v>1727</v>
      </c>
      <c r="H52" t="str">
        <f>IF('Project information'!$C$7="Provisional Certification stage",E52,IF('Project information'!$C$7="Full Certification stage",F52,IF('Project information'!$C$7="Select","Select the Submission Stage in Project Information",B52)))</f>
        <v>Select the Submission Stage in Project Information</v>
      </c>
    </row>
    <row r="53" spans="1:8" ht="42.75" customHeight="1" x14ac:dyDescent="0.25">
      <c r="A53" s="1350"/>
      <c r="B53" s="1347" t="s">
        <v>755</v>
      </c>
      <c r="C53" s="1347"/>
      <c r="D53" s="1347"/>
      <c r="E53" s="1248" t="s">
        <v>2582</v>
      </c>
      <c r="F53" s="1248" t="s">
        <v>2377</v>
      </c>
      <c r="G53" s="772" t="s">
        <v>1727</v>
      </c>
      <c r="H53" t="str">
        <f>IF('Project information'!$C$7="Provisional Certification stage",E53,IF('Project information'!$C$7="Full Certification stage",F53,IF('Project information'!$C$7="Select","Select the Submission Stage in Project Information",B53)))</f>
        <v>Select the Submission Stage in Project Information</v>
      </c>
    </row>
    <row r="54" spans="1:8" ht="39.75" customHeight="1" x14ac:dyDescent="0.25">
      <c r="A54" s="1351"/>
      <c r="B54" s="1347" t="s">
        <v>755</v>
      </c>
      <c r="C54" s="1347"/>
      <c r="D54" s="1347"/>
      <c r="E54" s="1249" t="s">
        <v>59</v>
      </c>
      <c r="F54" s="1248" t="s">
        <v>2583</v>
      </c>
      <c r="G54" s="772" t="s">
        <v>1727</v>
      </c>
      <c r="H54" t="str">
        <f>IF('Project information'!$C$7="Provisional Certification stage",E54,IF('Project information'!$C$7="Full Certification stage",F54,IF('Project information'!$C$7="Select","Select the Submission Stage in Project Information",B54)))</f>
        <v>Select the Submission Stage in Project Information</v>
      </c>
    </row>
    <row r="55" spans="1:8" ht="29.25" customHeight="1" x14ac:dyDescent="0.25">
      <c r="A55" s="1349" t="s">
        <v>23</v>
      </c>
      <c r="B55" s="1347" t="s">
        <v>755</v>
      </c>
      <c r="C55" s="1347"/>
      <c r="D55" s="1347"/>
      <c r="E55" s="1248" t="s">
        <v>2359</v>
      </c>
      <c r="F55" s="1248" t="s">
        <v>1302</v>
      </c>
      <c r="G55" s="772" t="s">
        <v>1727</v>
      </c>
      <c r="H55" t="str">
        <f>IF('Project information'!$C$7="Provisional Certification stage",E55,IF('Project information'!$C$7="Full Certification stage",F55,IF('Project information'!$C$7="Select","Select the Submission Stage in Project Information",B55)))</f>
        <v>Select the Submission Stage in Project Information</v>
      </c>
    </row>
    <row r="56" spans="1:8" ht="38.25" x14ac:dyDescent="0.25">
      <c r="A56" s="1350"/>
      <c r="B56" s="1347" t="s">
        <v>755</v>
      </c>
      <c r="C56" s="1347"/>
      <c r="D56" s="1347"/>
      <c r="E56" s="1248" t="s">
        <v>2584</v>
      </c>
      <c r="F56" s="1248" t="s">
        <v>2376</v>
      </c>
      <c r="G56" s="772" t="s">
        <v>1727</v>
      </c>
      <c r="H56" t="str">
        <f>IF('Project information'!$C$7="Provisional Certification stage",E56,IF('Project information'!$C$7="Full Certification stage",F56,IF('Project information'!$C$7="Select","Select the Submission Stage in Project Information",B56)))</f>
        <v>Select the Submission Stage in Project Information</v>
      </c>
    </row>
    <row r="57" spans="1:8" ht="45.75" customHeight="1" x14ac:dyDescent="0.25">
      <c r="A57" s="1351"/>
      <c r="B57" s="1347" t="s">
        <v>755</v>
      </c>
      <c r="C57" s="1347"/>
      <c r="D57" s="1347"/>
      <c r="E57" s="1249" t="s">
        <v>59</v>
      </c>
      <c r="F57" s="1248" t="s">
        <v>2363</v>
      </c>
      <c r="G57" s="772" t="s">
        <v>1727</v>
      </c>
      <c r="H57" t="str">
        <f>IF('Project information'!$C$7="Provisional Certification stage",E57,IF('Project information'!$C$7="Full Certification stage",F57,IF('Project information'!$C$7="Select","Select the Submission Stage in Project Information",B57)))</f>
        <v>Select the Submission Stage in Project Information</v>
      </c>
    </row>
    <row r="58" spans="1:8" ht="25.5" x14ac:dyDescent="0.25">
      <c r="A58" s="1335" t="s">
        <v>1101</v>
      </c>
      <c r="B58" s="1327" t="s">
        <v>755</v>
      </c>
      <c r="C58" s="1327"/>
      <c r="D58" s="1327"/>
      <c r="E58" s="1277" t="s">
        <v>755</v>
      </c>
      <c r="F58" s="1277" t="s">
        <v>2622</v>
      </c>
      <c r="G58" s="772" t="s">
        <v>1727</v>
      </c>
      <c r="H58" t="str">
        <f>IF('Project information'!$C$7="Provisional Certification stage",E58,IF('Project information'!$C$7="Full Certification stage",F58,IF('Project information'!$C$7="Select","Select the Submission Stage in Project Information",B58)))</f>
        <v>Select the Submission Stage in Project Information</v>
      </c>
    </row>
    <row r="59" spans="1:8" ht="42.75" customHeight="1" x14ac:dyDescent="0.25">
      <c r="A59" s="1348"/>
      <c r="B59" s="1327" t="s">
        <v>755</v>
      </c>
      <c r="C59" s="1327"/>
      <c r="D59" s="1327"/>
      <c r="E59" s="1277" t="s">
        <v>2524</v>
      </c>
      <c r="F59" s="1277" t="s">
        <v>2471</v>
      </c>
      <c r="G59" s="772" t="s">
        <v>1727</v>
      </c>
      <c r="H59" t="str">
        <f>IF('Project information'!$C$7="Provisional Certification stage",E59,IF('Project information'!$C$7="Full Certification stage",F59,IF('Project information'!$C$7="Select","Select the Submission Stage in Project Information",B59)))</f>
        <v>Select the Submission Stage in Project Information</v>
      </c>
    </row>
    <row r="60" spans="1:8" ht="25.5" x14ac:dyDescent="0.25">
      <c r="A60" s="1336"/>
      <c r="B60" s="1327" t="s">
        <v>755</v>
      </c>
      <c r="C60" s="1327"/>
      <c r="D60" s="1327"/>
      <c r="E60" s="1278" t="s">
        <v>59</v>
      </c>
      <c r="F60" s="1277" t="s">
        <v>2472</v>
      </c>
      <c r="G60" s="772" t="s">
        <v>1727</v>
      </c>
      <c r="H60" t="str">
        <f>IF('Project information'!$C$7="Provisional Certification stage",E60,IF('Project information'!$C$7="Full Certification stage",F60,IF('Project information'!$C$7="Select","Select the Submission Stage in Project Information",B60)))</f>
        <v>Select the Submission Stage in Project Information</v>
      </c>
    </row>
    <row r="61" spans="1:8" ht="25.5" x14ac:dyDescent="0.25">
      <c r="A61" s="1335" t="s">
        <v>1100</v>
      </c>
      <c r="B61" s="1327" t="s">
        <v>755</v>
      </c>
      <c r="C61" s="1327"/>
      <c r="D61" s="1327"/>
      <c r="E61" s="1277" t="s">
        <v>2623</v>
      </c>
      <c r="F61" s="1277" t="s">
        <v>2625</v>
      </c>
      <c r="G61" s="772" t="s">
        <v>1727</v>
      </c>
      <c r="H61" t="str">
        <f>IF('Project information'!$C$7="Provisional Certification stage",E61,IF('Project information'!$C$7="Full Certification stage",F61,IF('Project information'!$C$7="Select","Select the Submission Stage in Project Information",B61)))</f>
        <v>Select the Submission Stage in Project Information</v>
      </c>
    </row>
    <row r="62" spans="1:8" ht="38.25" x14ac:dyDescent="0.25">
      <c r="A62" s="1348"/>
      <c r="B62" s="1327" t="s">
        <v>755</v>
      </c>
      <c r="C62" s="1327"/>
      <c r="D62" s="1327"/>
      <c r="E62" s="1277" t="s">
        <v>2624</v>
      </c>
      <c r="F62" s="1277" t="s">
        <v>2474</v>
      </c>
      <c r="G62" s="772" t="s">
        <v>1727</v>
      </c>
      <c r="H62" t="str">
        <f>IF('Project information'!$C$7="Provisional Certification stage",E62,IF('Project information'!$C$7="Full Certification stage",F62,IF('Project information'!$C$7="Select","Select the Submission Stage in Project Information",B62)))</f>
        <v>Select the Submission Stage in Project Information</v>
      </c>
    </row>
    <row r="63" spans="1:8" ht="25.5" x14ac:dyDescent="0.25">
      <c r="A63" s="1336"/>
      <c r="B63" s="1327" t="s">
        <v>755</v>
      </c>
      <c r="C63" s="1327"/>
      <c r="D63" s="1327"/>
      <c r="E63" s="1278" t="s">
        <v>59</v>
      </c>
      <c r="F63" s="1277" t="s">
        <v>2626</v>
      </c>
      <c r="G63" s="772" t="s">
        <v>1727</v>
      </c>
      <c r="H63" t="str">
        <f>IF('Project information'!$C$7="Provisional Certification stage",E63,IF('Project information'!$C$7="Full Certification stage",F63,IF('Project information'!$C$7="Select","Select the Submission Stage in Project Information",B63)))</f>
        <v>Select the Submission Stage in Project Information</v>
      </c>
    </row>
    <row r="64" spans="1:8" ht="38.25" customHeight="1" x14ac:dyDescent="0.25">
      <c r="A64" s="1335" t="s">
        <v>1099</v>
      </c>
      <c r="B64" s="1327" t="s">
        <v>755</v>
      </c>
      <c r="C64" s="1327"/>
      <c r="D64" s="1327"/>
      <c r="E64" s="1277" t="s">
        <v>2525</v>
      </c>
      <c r="F64" s="1277" t="s">
        <v>2475</v>
      </c>
      <c r="G64" s="772" t="s">
        <v>1727</v>
      </c>
      <c r="H64" t="str">
        <f>IF('Project information'!$C$7="Provisional Certification stage",E64,IF('Project information'!$C$7="Full Certification stage",F64,IF('Project information'!$C$7="Select","Select the Submission Stage in Project Information",B64)))</f>
        <v>Select the Submission Stage in Project Information</v>
      </c>
    </row>
    <row r="65" spans="1:8" ht="38.25" customHeight="1" x14ac:dyDescent="0.25">
      <c r="A65" s="1348"/>
      <c r="B65" s="1327" t="s">
        <v>755</v>
      </c>
      <c r="C65" s="1327"/>
      <c r="D65" s="1327"/>
      <c r="E65" s="1277" t="s">
        <v>2473</v>
      </c>
      <c r="F65" s="1277" t="s">
        <v>2474</v>
      </c>
      <c r="G65" s="772" t="s">
        <v>1727</v>
      </c>
      <c r="H65" t="str">
        <f>IF('Project information'!$C$7="Provisional Certification stage",E65,IF('Project information'!$C$7="Full Certification stage",F65,IF('Project information'!$C$7="Select","Select the Submission Stage in Project Information",B65)))</f>
        <v>Select the Submission Stage in Project Information</v>
      </c>
    </row>
    <row r="66" spans="1:8" ht="25.5" customHeight="1" x14ac:dyDescent="0.25">
      <c r="A66" s="1336"/>
      <c r="B66" s="1332" t="s">
        <v>755</v>
      </c>
      <c r="C66" s="1333"/>
      <c r="D66" s="1334"/>
      <c r="E66" s="1278" t="s">
        <v>59</v>
      </c>
      <c r="F66" s="1277" t="s">
        <v>2479</v>
      </c>
      <c r="G66" s="772" t="s">
        <v>1727</v>
      </c>
      <c r="H66" t="str">
        <f>IF('Project information'!$C$7="Provisional Certification stage",E66,IF('Project information'!$C$7="Full Certification stage",F66,IF('Project information'!$C$7="Select","Select the Submission Stage in Project Information",B66)))</f>
        <v>Select the Submission Stage in Project Information</v>
      </c>
    </row>
    <row r="67" spans="1:8" ht="41.25" customHeight="1" x14ac:dyDescent="0.25">
      <c r="A67" s="1335" t="s">
        <v>307</v>
      </c>
      <c r="B67" s="1327" t="s">
        <v>755</v>
      </c>
      <c r="C67" s="1327"/>
      <c r="D67" s="1327"/>
      <c r="E67" s="1277" t="s">
        <v>2426</v>
      </c>
      <c r="F67" s="1277" t="s">
        <v>2433</v>
      </c>
      <c r="G67" s="772" t="s">
        <v>1727</v>
      </c>
      <c r="H67" t="str">
        <f>IF('Project information'!$C$7="Provisional Certification stage",E67,IF('Project information'!$C$7="Full Certification stage",F67,IF('Project information'!$C$7="Select","Select the Submission Stage in Project Information",B67)))</f>
        <v>Select the Submission Stage in Project Information</v>
      </c>
    </row>
    <row r="68" spans="1:8" ht="25.5" x14ac:dyDescent="0.25">
      <c r="A68" s="1336"/>
      <c r="B68" s="1327" t="s">
        <v>755</v>
      </c>
      <c r="C68" s="1327"/>
      <c r="D68" s="1327"/>
      <c r="E68" s="1278" t="s">
        <v>59</v>
      </c>
      <c r="F68" s="1277" t="s">
        <v>2434</v>
      </c>
      <c r="G68" s="772" t="s">
        <v>1727</v>
      </c>
      <c r="H68" t="str">
        <f>IF('Project information'!$C$7="Provisional Certification stage",E68,IF('Project information'!$C$7="Full Certification stage",F68,IF('Project information'!$C$7="Select","Select the Submission Stage in Project Information",B68)))</f>
        <v>Select the Submission Stage in Project Information</v>
      </c>
    </row>
    <row r="69" spans="1:8" ht="27.75" customHeight="1" x14ac:dyDescent="0.25">
      <c r="A69" s="1335" t="s">
        <v>749</v>
      </c>
      <c r="B69" s="1327" t="s">
        <v>755</v>
      </c>
      <c r="C69" s="1327"/>
      <c r="D69" s="1327"/>
      <c r="E69" s="1278" t="s">
        <v>59</v>
      </c>
      <c r="F69" s="1278" t="s">
        <v>59</v>
      </c>
      <c r="G69" s="772" t="s">
        <v>1727</v>
      </c>
      <c r="H69" t="str">
        <f>IF('Project information'!$C$7="Provisional Certification stage",E69,IF('Project information'!$C$7="Full Certification stage",F69,IF('Project information'!$C$7="Select","Select the Submission Stage in Project Information",B69)))</f>
        <v>Select the Submission Stage in Project Information</v>
      </c>
    </row>
    <row r="70" spans="1:8" ht="18.75" customHeight="1" x14ac:dyDescent="0.25">
      <c r="A70" s="1336"/>
      <c r="B70" s="1327" t="s">
        <v>755</v>
      </c>
      <c r="C70" s="1327"/>
      <c r="D70" s="1327"/>
      <c r="E70" s="1278" t="s">
        <v>59</v>
      </c>
      <c r="F70" s="1278" t="s">
        <v>59</v>
      </c>
      <c r="G70" s="772" t="s">
        <v>1727</v>
      </c>
      <c r="H70" t="str">
        <f>IF('Project information'!$C$7="Provisional Certification stage",E70,IF('Project information'!$C$7="Full Certification stage",F70,IF('Project information'!$C$7="Select","Select the Submission Stage in Project Information",B70)))</f>
        <v>Select the Submission Stage in Project Information</v>
      </c>
    </row>
    <row r="71" spans="1:8" ht="25.5" x14ac:dyDescent="0.25">
      <c r="A71" s="1335" t="s">
        <v>750</v>
      </c>
      <c r="B71" s="1327" t="s">
        <v>755</v>
      </c>
      <c r="C71" s="1327"/>
      <c r="D71" s="1327"/>
      <c r="E71" s="1277" t="s">
        <v>2427</v>
      </c>
      <c r="F71" s="1277" t="s">
        <v>2628</v>
      </c>
      <c r="G71" s="772" t="s">
        <v>1727</v>
      </c>
      <c r="H71" t="str">
        <f>IF('Project information'!$C$7="Provisional Certification stage",E71,IF('Project information'!$C$7="Full Certification stage",F71,IF('Project information'!$C$7="Select","Select the Submission Stage in Project Information",B71)))</f>
        <v>Select the Submission Stage in Project Information</v>
      </c>
    </row>
    <row r="72" spans="1:8" x14ac:dyDescent="0.25">
      <c r="A72" s="1336"/>
      <c r="B72" s="1327" t="s">
        <v>755</v>
      </c>
      <c r="C72" s="1327"/>
      <c r="D72" s="1327"/>
      <c r="E72" s="1278" t="s">
        <v>59</v>
      </c>
      <c r="F72" s="1278" t="s">
        <v>59</v>
      </c>
      <c r="G72" s="772" t="s">
        <v>1727</v>
      </c>
      <c r="H72" t="str">
        <f>IF('Project information'!$C$7="Provisional Certification stage",E72,IF('Project information'!$C$7="Full Certification stage",F72,IF('Project information'!$C$7="Select","Select the Submission Stage in Project Information",B72)))</f>
        <v>Select the Submission Stage in Project Information</v>
      </c>
    </row>
    <row r="73" spans="1:8" ht="24" customHeight="1" x14ac:dyDescent="0.25">
      <c r="A73" s="1335" t="s">
        <v>798</v>
      </c>
      <c r="B73" s="1327" t="s">
        <v>755</v>
      </c>
      <c r="C73" s="1327"/>
      <c r="D73" s="1327"/>
      <c r="E73" s="1277" t="s">
        <v>755</v>
      </c>
      <c r="F73" s="1277" t="s">
        <v>2630</v>
      </c>
      <c r="G73" s="772" t="s">
        <v>1727</v>
      </c>
      <c r="H73" t="str">
        <f>IF('Project information'!$C$7="Provisional Certification stage",E73,IF('Project information'!$C$7="Full Certification stage",F73,IF('Project information'!$C$7="Select","Select the Submission Stage in Project Information",B73)))</f>
        <v>Select the Submission Stage in Project Information</v>
      </c>
    </row>
    <row r="74" spans="1:8" ht="21" customHeight="1" x14ac:dyDescent="0.25">
      <c r="A74" s="1336"/>
      <c r="B74" s="1327" t="s">
        <v>755</v>
      </c>
      <c r="C74" s="1327"/>
      <c r="D74" s="1327"/>
      <c r="E74" s="1278" t="s">
        <v>59</v>
      </c>
      <c r="F74" s="1277" t="s">
        <v>2631</v>
      </c>
      <c r="G74" s="772" t="s">
        <v>1727</v>
      </c>
      <c r="H74" t="str">
        <f>IF('Project information'!$C$7="Provisional Certification stage",E74,IF('Project information'!$C$7="Full Certification stage",F74,IF('Project information'!$C$7="Select","Select the Submission Stage in Project Information",B74)))</f>
        <v>Select the Submission Stage in Project Information</v>
      </c>
    </row>
    <row r="75" spans="1:8" ht="24" customHeight="1" x14ac:dyDescent="0.25">
      <c r="A75" s="1335" t="s">
        <v>799</v>
      </c>
      <c r="B75" s="1327" t="s">
        <v>755</v>
      </c>
      <c r="C75" s="1327"/>
      <c r="D75" s="1327"/>
      <c r="E75" s="1277" t="s">
        <v>2629</v>
      </c>
      <c r="F75" s="1277" t="s">
        <v>2632</v>
      </c>
      <c r="G75" s="772" t="s">
        <v>1727</v>
      </c>
      <c r="H75" t="str">
        <f>IF('Project information'!$C$7="Provisional Certification stage",E75,IF('Project information'!$C$7="Full Certification stage",F75,IF('Project information'!$C$7="Select","Select the Submission Stage in Project Information",B75)))</f>
        <v>Select the Submission Stage in Project Information</v>
      </c>
    </row>
    <row r="76" spans="1:8" ht="24" customHeight="1" x14ac:dyDescent="0.25">
      <c r="A76" s="1336"/>
      <c r="B76" s="1327" t="s">
        <v>755</v>
      </c>
      <c r="C76" s="1327"/>
      <c r="D76" s="1327"/>
      <c r="E76" s="1278" t="s">
        <v>59</v>
      </c>
      <c r="F76" s="1277" t="s">
        <v>2435</v>
      </c>
      <c r="G76" s="772" t="s">
        <v>1727</v>
      </c>
      <c r="H76" t="str">
        <f>IF('Project information'!$C$7="Provisional Certification stage",E76,IF('Project information'!$C$7="Full Certification stage",F76,IF('Project information'!$C$7="Select","Select the Submission Stage in Project Information",B76)))</f>
        <v>Select the Submission Stage in Project Information</v>
      </c>
    </row>
    <row r="77" spans="1:8" ht="18" customHeight="1" x14ac:dyDescent="0.25">
      <c r="A77" s="1352" t="s">
        <v>340</v>
      </c>
      <c r="B77" s="1327" t="s">
        <v>755</v>
      </c>
      <c r="C77" s="1327"/>
      <c r="D77" s="1327"/>
      <c r="E77" s="1278" t="s">
        <v>2436</v>
      </c>
      <c r="F77" s="1281" t="s">
        <v>989</v>
      </c>
      <c r="G77" s="772" t="s">
        <v>1727</v>
      </c>
      <c r="H77" t="str">
        <f>IF('Project information'!$C$7="Provisional Certification stage",E77,IF('Project information'!$C$7="Full Certification stage",F77,IF('Project information'!$C$7="Select","Select the Submission Stage in Project Information",B77)))</f>
        <v>Select the Submission Stage in Project Information</v>
      </c>
    </row>
    <row r="78" spans="1:8" ht="24.75" customHeight="1" x14ac:dyDescent="0.25">
      <c r="A78" s="1353"/>
      <c r="B78" s="1327" t="s">
        <v>755</v>
      </c>
      <c r="C78" s="1327"/>
      <c r="D78" s="1327"/>
      <c r="E78" s="1278" t="s">
        <v>59</v>
      </c>
      <c r="F78" s="1281" t="s">
        <v>2437</v>
      </c>
      <c r="G78" s="772" t="s">
        <v>1727</v>
      </c>
      <c r="H78" t="str">
        <f>IF('Project information'!$C$7="Provisional Certification stage",E78,IF('Project information'!$C$7="Full Certification stage",F78,IF('Project information'!$C$7="Select","Select the Submission Stage in Project Information",B78)))</f>
        <v>Select the Submission Stage in Project Information</v>
      </c>
    </row>
    <row r="79" spans="1:8" x14ac:dyDescent="0.25">
      <c r="A79" s="1353"/>
      <c r="B79" s="1327" t="s">
        <v>755</v>
      </c>
      <c r="C79" s="1327"/>
      <c r="D79" s="1327"/>
      <c r="E79" s="1277" t="s">
        <v>2633</v>
      </c>
      <c r="F79" s="1281" t="s">
        <v>990</v>
      </c>
      <c r="G79" s="772" t="s">
        <v>1727</v>
      </c>
      <c r="H79" t="str">
        <f>IF('Project information'!$C$7="Provisional Certification stage",E79,IF('Project information'!$C$7="Full Certification stage",F79,IF('Project information'!$C$7="Select","Select the Submission Stage in Project Information",B79)))</f>
        <v>Select the Submission Stage in Project Information</v>
      </c>
    </row>
    <row r="80" spans="1:8" ht="25.5" x14ac:dyDescent="0.25">
      <c r="A80" s="1353"/>
      <c r="B80" s="1327" t="s">
        <v>755</v>
      </c>
      <c r="C80" s="1327"/>
      <c r="D80" s="1327"/>
      <c r="E80" s="1277" t="s">
        <v>2634</v>
      </c>
      <c r="F80" s="1281" t="s">
        <v>2438</v>
      </c>
      <c r="G80" s="772" t="s">
        <v>1727</v>
      </c>
      <c r="H80" t="str">
        <f>IF('Project information'!$C$7="Provisional Certification stage",E80,IF('Project information'!$C$7="Full Certification stage",F80,IF('Project information'!$C$7="Select","Select the Submission Stage in Project Information",B80)))</f>
        <v>Select the Submission Stage in Project Information</v>
      </c>
    </row>
    <row r="81" spans="1:8" ht="25.5" x14ac:dyDescent="0.25">
      <c r="A81" s="1354"/>
      <c r="B81" s="1327" t="s">
        <v>755</v>
      </c>
      <c r="C81" s="1327"/>
      <c r="D81" s="1327"/>
      <c r="E81" s="1278" t="s">
        <v>59</v>
      </c>
      <c r="F81" s="1281" t="s">
        <v>2439</v>
      </c>
      <c r="G81" s="772" t="s">
        <v>1727</v>
      </c>
      <c r="H81" t="str">
        <f>IF('Project information'!$C$7="Provisional Certification stage",E81,IF('Project information'!$C$7="Full Certification stage",F81,IF('Project information'!$C$7="Select","Select the Submission Stage in Project Information",B81)))</f>
        <v>Select the Submission Stage in Project Information</v>
      </c>
    </row>
    <row r="82" spans="1:8" ht="19.5" customHeight="1" x14ac:dyDescent="0.25">
      <c r="A82" s="1338" t="s">
        <v>30</v>
      </c>
      <c r="B82" s="1327" t="s">
        <v>755</v>
      </c>
      <c r="C82" s="1327"/>
      <c r="D82" s="1327"/>
      <c r="E82" s="1277" t="s">
        <v>2367</v>
      </c>
      <c r="F82" s="1277" t="s">
        <v>2368</v>
      </c>
      <c r="G82" s="772" t="s">
        <v>1727</v>
      </c>
      <c r="H82" t="str">
        <f>IF('Project information'!$C$7="Provisional Certification stage",E82,IF('Project information'!$C$7="Full Certification stage",F82,IF('Project information'!$C$7="Select","Select the Submission Stage in Project Information",B82)))</f>
        <v>Select the Submission Stage in Project Information</v>
      </c>
    </row>
    <row r="83" spans="1:8" ht="18" customHeight="1" x14ac:dyDescent="0.25">
      <c r="A83" s="1339"/>
      <c r="B83" s="1327" t="s">
        <v>755</v>
      </c>
      <c r="C83" s="1327"/>
      <c r="D83" s="1327"/>
      <c r="E83" s="1278" t="s">
        <v>59</v>
      </c>
      <c r="F83" s="1277" t="s">
        <v>2369</v>
      </c>
      <c r="G83" s="772" t="s">
        <v>1727</v>
      </c>
      <c r="H83" t="str">
        <f>IF('Project information'!$C$7="Provisional Certification stage",E83,IF('Project information'!$C$7="Full Certification stage",F83,IF('Project information'!$C$7="Select","Select the Submission Stage in Project Information",B83)))</f>
        <v>Select the Submission Stage in Project Information</v>
      </c>
    </row>
    <row r="84" spans="1:8" ht="27.75" customHeight="1" x14ac:dyDescent="0.25">
      <c r="A84" s="1339"/>
      <c r="B84" s="1327" t="s">
        <v>755</v>
      </c>
      <c r="C84" s="1327"/>
      <c r="D84" s="1327"/>
      <c r="E84" s="1277" t="s">
        <v>2526</v>
      </c>
      <c r="F84" s="1277" t="s">
        <v>2373</v>
      </c>
      <c r="G84" s="772" t="s">
        <v>1727</v>
      </c>
      <c r="H84" t="str">
        <f>IF('Project information'!$C$7="Provisional Certification stage",E84,IF('Project information'!$C$7="Full Certification stage",F84,IF('Project information'!$C$7="Select","Select the Submission Stage in Project Information",B84)))</f>
        <v>Select the Submission Stage in Project Information</v>
      </c>
    </row>
    <row r="85" spans="1:8" ht="25.5" x14ac:dyDescent="0.25">
      <c r="A85" s="1339"/>
      <c r="B85" s="1327" t="s">
        <v>755</v>
      </c>
      <c r="C85" s="1327"/>
      <c r="D85" s="1327"/>
      <c r="E85" s="1277" t="s">
        <v>2372</v>
      </c>
      <c r="F85" s="1277" t="s">
        <v>2374</v>
      </c>
      <c r="G85" s="772" t="s">
        <v>1727</v>
      </c>
      <c r="H85" t="str">
        <f>IF('Project information'!$C$7="Provisional Certification stage",E85,IF('Project information'!$C$7="Full Certification stage",F85,IF('Project information'!$C$7="Select","Select the Submission Stage in Project Information",B85)))</f>
        <v>Select the Submission Stage in Project Information</v>
      </c>
    </row>
    <row r="86" spans="1:8" ht="38.25" x14ac:dyDescent="0.25">
      <c r="A86" s="1340"/>
      <c r="B86" s="1327" t="s">
        <v>755</v>
      </c>
      <c r="C86" s="1327"/>
      <c r="D86" s="1327"/>
      <c r="E86" s="1278" t="s">
        <v>59</v>
      </c>
      <c r="F86" s="1277" t="s">
        <v>2375</v>
      </c>
      <c r="G86" s="772" t="s">
        <v>1727</v>
      </c>
      <c r="H86" t="str">
        <f>IF('Project information'!$C$7="Provisional Certification stage",E86,IF('Project information'!$C$7="Full Certification stage",F86,IF('Project information'!$C$7="Select","Select the Submission Stage in Project Information",B86)))</f>
        <v>Select the Submission Stage in Project Information</v>
      </c>
    </row>
    <row r="87" spans="1:8" ht="25.5" x14ac:dyDescent="0.25">
      <c r="A87" s="1338" t="s">
        <v>32</v>
      </c>
      <c r="B87" s="1327" t="s">
        <v>755</v>
      </c>
      <c r="C87" s="1327"/>
      <c r="D87" s="1327"/>
      <c r="E87" s="1277" t="s">
        <v>2480</v>
      </c>
      <c r="F87" s="1277" t="s">
        <v>2636</v>
      </c>
      <c r="G87" s="772" t="s">
        <v>1727</v>
      </c>
      <c r="H87" t="str">
        <f>IF('Project information'!$C$7="Provisional Certification stage",E87,IF('Project information'!$C$7="Full Certification stage",F87,IF('Project information'!$C$7="Select","Select the Submission Stage in Project Information",B87)))</f>
        <v>Select the Submission Stage in Project Information</v>
      </c>
    </row>
    <row r="88" spans="1:8" ht="25.5" x14ac:dyDescent="0.25">
      <c r="A88" s="1340"/>
      <c r="B88" s="1327" t="s">
        <v>755</v>
      </c>
      <c r="C88" s="1327"/>
      <c r="D88" s="1327"/>
      <c r="E88" s="1277" t="s">
        <v>2635</v>
      </c>
      <c r="F88" s="1277" t="s">
        <v>2378</v>
      </c>
      <c r="G88" s="772" t="s">
        <v>1727</v>
      </c>
      <c r="H88" t="str">
        <f>IF('Project information'!$C$7="Provisional Certification stage",E88,IF('Project information'!$C$7="Full Certification stage",F88,IF('Project information'!$C$7="Select","Select the Submission Stage in Project Information",B88)))</f>
        <v>Select the Submission Stage in Project Information</v>
      </c>
    </row>
    <row r="89" spans="1:8" ht="38.25" x14ac:dyDescent="0.25">
      <c r="A89" s="1338" t="s">
        <v>2482</v>
      </c>
      <c r="B89" s="1327" t="s">
        <v>755</v>
      </c>
      <c r="C89" s="1327"/>
      <c r="D89" s="1327"/>
      <c r="E89" s="1277" t="s">
        <v>2652</v>
      </c>
      <c r="F89" s="1289" t="s">
        <v>2527</v>
      </c>
      <c r="G89" s="772" t="s">
        <v>1727</v>
      </c>
      <c r="H89" t="str">
        <f>IF('Project information'!$C$7="Provisional Certification stage",E89,IF('Project information'!$C$7="Full Certification stage",F89,IF('Project information'!$C$7="Select","Select the Submission Stage in Project Information",B89)))</f>
        <v>Select the Submission Stage in Project Information</v>
      </c>
    </row>
    <row r="90" spans="1:8" ht="25.5" x14ac:dyDescent="0.25">
      <c r="A90" s="1340"/>
      <c r="B90" s="1327" t="s">
        <v>755</v>
      </c>
      <c r="C90" s="1327"/>
      <c r="D90" s="1327"/>
      <c r="E90" s="1277" t="s">
        <v>59</v>
      </c>
      <c r="F90" s="1289" t="s">
        <v>2496</v>
      </c>
      <c r="G90" s="772" t="s">
        <v>1727</v>
      </c>
      <c r="H90" t="str">
        <f>IF('Project information'!$C$7="Provisional Certification stage",E90,IF('Project information'!$C$7="Full Certification stage",F90,IF('Project information'!$C$7="Select","Select the Submission Stage in Project Information",B90)))</f>
        <v>Select the Submission Stage in Project Information</v>
      </c>
    </row>
    <row r="91" spans="1:8" ht="23.25" customHeight="1" x14ac:dyDescent="0.25">
      <c r="A91" s="1338" t="s">
        <v>2481</v>
      </c>
      <c r="B91" s="1327" t="s">
        <v>755</v>
      </c>
      <c r="C91" s="1327"/>
      <c r="D91" s="1327"/>
      <c r="E91" s="1277" t="s">
        <v>2654</v>
      </c>
      <c r="F91" s="1289" t="s">
        <v>2527</v>
      </c>
      <c r="G91" s="772" t="s">
        <v>1727</v>
      </c>
      <c r="H91" t="str">
        <f>IF('Project information'!$C$7="Provisional Certification stage",E91,IF('Project information'!$C$7="Full Certification stage",F91,IF('Project information'!$C$7="Select","Select the Submission Stage in Project Information",B91)))</f>
        <v>Select the Submission Stage in Project Information</v>
      </c>
    </row>
    <row r="92" spans="1:8" ht="25.5" customHeight="1" x14ac:dyDescent="0.25">
      <c r="A92" s="1340"/>
      <c r="B92" s="1327" t="s">
        <v>755</v>
      </c>
      <c r="C92" s="1327"/>
      <c r="D92" s="1327"/>
      <c r="E92" s="1277" t="s">
        <v>59</v>
      </c>
      <c r="F92" s="1289" t="s">
        <v>2496</v>
      </c>
      <c r="G92" s="772" t="s">
        <v>1727</v>
      </c>
      <c r="H92" t="str">
        <f>IF('Project information'!$C$7="Provisional Certification stage",E92,IF('Project information'!$C$7="Full Certification stage",F92,IF('Project information'!$C$7="Select","Select the Submission Stage in Project Information",B92)))</f>
        <v>Select the Submission Stage in Project Information</v>
      </c>
    </row>
    <row r="93" spans="1:8" ht="25.5" x14ac:dyDescent="0.25">
      <c r="A93" s="1338" t="s">
        <v>764</v>
      </c>
      <c r="B93" s="1327" t="s">
        <v>755</v>
      </c>
      <c r="C93" s="1327"/>
      <c r="D93" s="1327"/>
      <c r="E93" s="1277" t="s">
        <v>2655</v>
      </c>
      <c r="F93" s="1289" t="s">
        <v>2527</v>
      </c>
      <c r="G93" s="772" t="s">
        <v>1727</v>
      </c>
      <c r="H93" t="str">
        <f>IF('Project information'!$C$7="Provisional Certification stage",E93,IF('Project information'!$C$7="Full Certification stage",F93,IF('Project information'!$C$7="Select","Select the Submission Stage in Project Information",B93)))</f>
        <v>Select the Submission Stage in Project Information</v>
      </c>
    </row>
    <row r="94" spans="1:8" ht="42" customHeight="1" x14ac:dyDescent="0.25">
      <c r="A94" s="1340"/>
      <c r="B94" s="1327" t="s">
        <v>755</v>
      </c>
      <c r="C94" s="1327"/>
      <c r="D94" s="1327"/>
      <c r="E94" s="1277" t="s">
        <v>59</v>
      </c>
      <c r="F94" s="1289" t="s">
        <v>2496</v>
      </c>
      <c r="G94" s="772" t="s">
        <v>1727</v>
      </c>
      <c r="H94" t="str">
        <f>IF('Project information'!$C$7="Provisional Certification stage",E94,IF('Project information'!$C$7="Full Certification stage",F94,IF('Project information'!$C$7="Select","Select the Submission Stage in Project Information",B94)))</f>
        <v>Select the Submission Stage in Project Information</v>
      </c>
    </row>
    <row r="95" spans="1:8" ht="38.25" x14ac:dyDescent="0.25">
      <c r="A95" s="1338" t="s">
        <v>763</v>
      </c>
      <c r="B95" s="1327" t="s">
        <v>755</v>
      </c>
      <c r="C95" s="1327"/>
      <c r="D95" s="1327"/>
      <c r="E95" s="1277" t="s">
        <v>2653</v>
      </c>
      <c r="F95" s="1277" t="s">
        <v>2528</v>
      </c>
      <c r="G95" s="772" t="s">
        <v>1727</v>
      </c>
      <c r="H95" t="str">
        <f>IF('Project information'!$C$7="Provisional Certification stage",E95,IF('Project information'!$C$7="Full Certification stage",F95,IF('Project information'!$C$7="Select","Select the Submission Stage in Project Information",B95)))</f>
        <v>Select the Submission Stage in Project Information</v>
      </c>
    </row>
    <row r="96" spans="1:8" ht="25.5" x14ac:dyDescent="0.25">
      <c r="A96" s="1340"/>
      <c r="B96" s="1327" t="s">
        <v>755</v>
      </c>
      <c r="C96" s="1327"/>
      <c r="D96" s="1327"/>
      <c r="E96" s="1277" t="s">
        <v>59</v>
      </c>
      <c r="F96" s="1289" t="s">
        <v>2497</v>
      </c>
      <c r="G96" s="772" t="s">
        <v>1727</v>
      </c>
      <c r="H96" t="str">
        <f>IF('Project information'!$C$7="Provisional Certification stage",E96,IF('Project information'!$C$7="Full Certification stage",F96,IF('Project information'!$C$7="Select","Select the Submission Stage in Project Information",B96)))</f>
        <v>Select the Submission Stage in Project Information</v>
      </c>
    </row>
    <row r="97" spans="1:8" ht="38.25" x14ac:dyDescent="0.25">
      <c r="A97" s="1338" t="s">
        <v>2379</v>
      </c>
      <c r="B97" s="1327" t="s">
        <v>755</v>
      </c>
      <c r="C97" s="1327"/>
      <c r="D97" s="1327"/>
      <c r="E97" s="1277" t="s">
        <v>2656</v>
      </c>
      <c r="F97" s="1289" t="s">
        <v>2529</v>
      </c>
      <c r="G97" s="772" t="s">
        <v>1727</v>
      </c>
      <c r="H97" t="str">
        <f>IF('Project information'!$C$7="Provisional Certification stage",E97,IF('Project information'!$C$7="Full Certification stage",F97,IF('Project information'!$C$7="Select","Select the Submission Stage in Project Information",B97)))</f>
        <v>Select the Submission Stage in Project Information</v>
      </c>
    </row>
    <row r="98" spans="1:8" ht="38.25" customHeight="1" x14ac:dyDescent="0.25">
      <c r="A98" s="1340"/>
      <c r="B98" s="1327" t="s">
        <v>755</v>
      </c>
      <c r="C98" s="1327"/>
      <c r="D98" s="1327"/>
      <c r="E98" s="1277" t="s">
        <v>59</v>
      </c>
      <c r="F98" s="1289" t="s">
        <v>2496</v>
      </c>
      <c r="G98" s="772" t="s">
        <v>1727</v>
      </c>
      <c r="H98" t="str">
        <f>IF('Project information'!$C$7="Provisional Certification stage",E98,IF('Project information'!$C$7="Full Certification stage",F98,IF('Project information'!$C$7="Select","Select the Submission Stage in Project Information",B98)))</f>
        <v>Select the Submission Stage in Project Information</v>
      </c>
    </row>
    <row r="99" spans="1:8" ht="32.25" customHeight="1" x14ac:dyDescent="0.25">
      <c r="A99" s="1250" t="s">
        <v>772</v>
      </c>
      <c r="B99" s="1327" t="s">
        <v>755</v>
      </c>
      <c r="C99" s="1327"/>
      <c r="D99" s="1327"/>
      <c r="E99" s="1277" t="s">
        <v>2657</v>
      </c>
      <c r="F99" s="1277" t="s">
        <v>2381</v>
      </c>
      <c r="G99" s="772" t="s">
        <v>1727</v>
      </c>
      <c r="H99" t="str">
        <f>IF('Project information'!$C$7="Provisional Certification stage",E99,IF('Project information'!$C$7="Full Certification stage",F99,IF('Project information'!$C$7="Select","Select the Submission Stage in Project Information",B99)))</f>
        <v>Select the Submission Stage in Project Information</v>
      </c>
    </row>
    <row r="100" spans="1:8" ht="25.5" x14ac:dyDescent="0.25">
      <c r="A100" s="1250" t="s">
        <v>773</v>
      </c>
      <c r="B100" s="1327" t="s">
        <v>755</v>
      </c>
      <c r="C100" s="1327"/>
      <c r="D100" s="1327"/>
      <c r="E100" s="1277" t="s">
        <v>2428</v>
      </c>
      <c r="F100" s="1277" t="s">
        <v>2380</v>
      </c>
      <c r="G100" s="772" t="s">
        <v>1727</v>
      </c>
      <c r="H100" t="str">
        <f>IF('Project information'!$C$7="Provisional Certification stage",E100,IF('Project information'!$C$7="Full Certification stage",F100,IF('Project information'!$C$7="Select","Select the Submission Stage in Project Information",B100)))</f>
        <v>Select the Submission Stage in Project Information</v>
      </c>
    </row>
    <row r="101" spans="1:8" ht="41.25" customHeight="1" x14ac:dyDescent="0.25">
      <c r="A101" s="1338" t="s">
        <v>248</v>
      </c>
      <c r="B101" s="1332" t="s">
        <v>755</v>
      </c>
      <c r="C101" s="1333"/>
      <c r="D101" s="1334"/>
      <c r="E101" s="1277" t="s">
        <v>2658</v>
      </c>
      <c r="F101" s="1277" t="s">
        <v>1340</v>
      </c>
      <c r="G101" s="772" t="s">
        <v>1727</v>
      </c>
      <c r="H101" t="str">
        <f>IF('Project information'!$C$7="Provisional Certification stage",E101,IF('Project information'!$C$7="Full Certification stage",F101,IF('Project information'!$C$7="Select","Select the Submission Stage in Project Information",B101)))</f>
        <v>Select the Submission Stage in Project Information</v>
      </c>
    </row>
    <row r="102" spans="1:8" ht="25.5" x14ac:dyDescent="0.25">
      <c r="A102" s="1340"/>
      <c r="B102" s="1327" t="s">
        <v>755</v>
      </c>
      <c r="C102" s="1327"/>
      <c r="D102" s="1327"/>
      <c r="E102" s="1282" t="s">
        <v>59</v>
      </c>
      <c r="F102" s="1277" t="s">
        <v>2659</v>
      </c>
      <c r="G102" s="772" t="s">
        <v>1727</v>
      </c>
      <c r="H102" t="str">
        <f>IF('Project information'!$C$7="Provisional Certification stage",E102,IF('Project information'!$C$7="Full Certification stage",F102,IF('Project information'!$C$7="Select","Select the Submission Stage in Project Information",B102)))</f>
        <v>Select the Submission Stage in Project Information</v>
      </c>
    </row>
    <row r="103" spans="1:8" ht="42" customHeight="1" x14ac:dyDescent="0.25">
      <c r="A103" s="1338" t="s">
        <v>313</v>
      </c>
      <c r="B103" s="1327" t="s">
        <v>755</v>
      </c>
      <c r="C103" s="1327"/>
      <c r="D103" s="1327"/>
      <c r="E103" s="1277" t="s">
        <v>2429</v>
      </c>
      <c r="F103" s="1277" t="s">
        <v>2660</v>
      </c>
      <c r="G103" s="772" t="s">
        <v>1727</v>
      </c>
      <c r="H103" t="str">
        <f>IF('Project information'!$C$7="Provisional Certification stage",E103,IF('Project information'!$C$7="Full Certification stage",F103,IF('Project information'!$C$7="Select","Select the Submission Stage in Project Information",B103)))</f>
        <v>Select the Submission Stage in Project Information</v>
      </c>
    </row>
    <row r="104" spans="1:8" ht="23.25" customHeight="1" x14ac:dyDescent="0.25">
      <c r="A104" s="1340"/>
      <c r="B104" s="1327" t="s">
        <v>755</v>
      </c>
      <c r="C104" s="1327"/>
      <c r="D104" s="1327"/>
      <c r="E104" s="1282" t="s">
        <v>59</v>
      </c>
      <c r="F104" s="1282" t="s">
        <v>59</v>
      </c>
      <c r="G104" s="772" t="s">
        <v>1727</v>
      </c>
      <c r="H104" t="str">
        <f>IF('Project information'!$C$7="Provisional Certification stage",E104,IF('Project information'!$C$7="Full Certification stage",F104,IF('Project information'!$C$7="Select","Select the Submission Stage in Project Information",B104)))</f>
        <v>Select the Submission Stage in Project Information</v>
      </c>
    </row>
    <row r="105" spans="1:8" ht="18" customHeight="1" x14ac:dyDescent="0.25">
      <c r="A105" s="1352" t="s">
        <v>314</v>
      </c>
      <c r="B105" s="1327" t="s">
        <v>755</v>
      </c>
      <c r="C105" s="1327"/>
      <c r="D105" s="1327"/>
      <c r="E105" s="1277" t="s">
        <v>2382</v>
      </c>
      <c r="F105" s="1277" t="s">
        <v>2666</v>
      </c>
      <c r="G105" s="772" t="s">
        <v>1727</v>
      </c>
      <c r="H105" t="str">
        <f>IF('Project information'!$C$7="Provisional Certification stage",E105,IF('Project information'!$C$7="Full Certification stage",F105,IF('Project information'!$C$7="Select","Select the Submission Stage in Project Information",B105)))</f>
        <v>Select the Submission Stage in Project Information</v>
      </c>
    </row>
    <row r="106" spans="1:8" ht="30" customHeight="1" x14ac:dyDescent="0.25">
      <c r="A106" s="1353"/>
      <c r="B106" s="1332" t="s">
        <v>755</v>
      </c>
      <c r="C106" s="1333"/>
      <c r="D106" s="1334"/>
      <c r="E106" s="1277" t="s">
        <v>2384</v>
      </c>
      <c r="F106" s="1277" t="s">
        <v>2667</v>
      </c>
      <c r="G106" s="772" t="s">
        <v>1727</v>
      </c>
      <c r="H106" t="str">
        <f>IF('Project information'!$C$7="Provisional Certification stage",E106,IF('Project information'!$C$7="Full Certification stage",F106,IF('Project information'!$C$7="Select","Select the Submission Stage in Project Information",B106)))</f>
        <v>Select the Submission Stage in Project Information</v>
      </c>
    </row>
    <row r="107" spans="1:8" ht="35.25" customHeight="1" x14ac:dyDescent="0.25">
      <c r="A107" s="1354"/>
      <c r="B107" s="1332" t="s">
        <v>755</v>
      </c>
      <c r="C107" s="1333"/>
      <c r="D107" s="1334"/>
      <c r="E107" s="1285" t="s">
        <v>59</v>
      </c>
      <c r="F107" s="1277" t="s">
        <v>2383</v>
      </c>
      <c r="G107" s="772" t="s">
        <v>1727</v>
      </c>
      <c r="H107" t="str">
        <f>IF('Project information'!$C$7="Provisional Certification stage",E107,IF('Project information'!$C$7="Full Certification stage",F107,IF('Project information'!$C$7="Select","Select the Submission Stage in Project Information",B107)))</f>
        <v>Select the Submission Stage in Project Information</v>
      </c>
    </row>
    <row r="108" spans="1:8" ht="24.75" customHeight="1" x14ac:dyDescent="0.25">
      <c r="A108" s="1338" t="s">
        <v>767</v>
      </c>
      <c r="B108" s="1327" t="s">
        <v>755</v>
      </c>
      <c r="C108" s="1327"/>
      <c r="D108" s="1327"/>
      <c r="E108" s="1277" t="s">
        <v>2385</v>
      </c>
      <c r="F108" s="1277" t="s">
        <v>2519</v>
      </c>
      <c r="G108" s="772" t="s">
        <v>1727</v>
      </c>
      <c r="H108" t="str">
        <f>IF('Project information'!$C$7="Provisional Certification stage",E108,IF('Project information'!$C$7="Full Certification stage",F108,IF('Project information'!$C$7="Select","Select the Submission Stage in Project Information",B108)))</f>
        <v>Select the Submission Stage in Project Information</v>
      </c>
    </row>
    <row r="109" spans="1:8" ht="24.75" customHeight="1" x14ac:dyDescent="0.25">
      <c r="A109" s="1339"/>
      <c r="B109" s="1327" t="s">
        <v>755</v>
      </c>
      <c r="C109" s="1327"/>
      <c r="D109" s="1327"/>
      <c r="E109" s="1277" t="s">
        <v>2386</v>
      </c>
      <c r="F109" s="1277" t="s">
        <v>2668</v>
      </c>
      <c r="G109" s="772" t="s">
        <v>1727</v>
      </c>
      <c r="H109" t="str">
        <f>IF('Project information'!$C$7="Provisional Certification stage",E109,IF('Project information'!$C$7="Full Certification stage",F109,IF('Project information'!$C$7="Select","Select the Submission Stage in Project Information",B109)))</f>
        <v>Select the Submission Stage in Project Information</v>
      </c>
    </row>
    <row r="110" spans="1:8" ht="38.25" x14ac:dyDescent="0.25">
      <c r="A110" s="1340"/>
      <c r="B110" s="1327" t="s">
        <v>755</v>
      </c>
      <c r="C110" s="1327"/>
      <c r="D110" s="1327"/>
      <c r="E110" s="1285" t="s">
        <v>59</v>
      </c>
      <c r="F110" s="1277" t="s">
        <v>2669</v>
      </c>
      <c r="G110" s="772" t="s">
        <v>1727</v>
      </c>
      <c r="H110" t="str">
        <f>IF('Project information'!$C$7="Provisional Certification stage",E110,IF('Project information'!$C$7="Full Certification stage",F110,IF('Project information'!$C$7="Select","Select the Submission Stage in Project Information",B110)))</f>
        <v>Select the Submission Stage in Project Information</v>
      </c>
    </row>
    <row r="111" spans="1:8" ht="21" customHeight="1" x14ac:dyDescent="0.25">
      <c r="A111" s="1338" t="s">
        <v>766</v>
      </c>
      <c r="B111" s="1327" t="s">
        <v>755</v>
      </c>
      <c r="C111" s="1327"/>
      <c r="D111" s="1327"/>
      <c r="E111" s="1277" t="s">
        <v>2387</v>
      </c>
      <c r="F111" s="1277" t="s">
        <v>2519</v>
      </c>
      <c r="G111" s="772" t="s">
        <v>1727</v>
      </c>
      <c r="H111" t="str">
        <f>IF('Project information'!$C$7="Provisional Certification stage",E111,IF('Project information'!$C$7="Full Certification stage",F111,IF('Project information'!$C$7="Select","Select the Submission Stage in Project Information",B111)))</f>
        <v>Select the Submission Stage in Project Information</v>
      </c>
    </row>
    <row r="112" spans="1:8" ht="21" customHeight="1" x14ac:dyDescent="0.25">
      <c r="A112" s="1339"/>
      <c r="B112" s="1327" t="s">
        <v>755</v>
      </c>
      <c r="C112" s="1327"/>
      <c r="D112" s="1327"/>
      <c r="E112" s="1277" t="s">
        <v>59</v>
      </c>
      <c r="F112" s="1277" t="s">
        <v>2518</v>
      </c>
      <c r="G112" s="772" t="s">
        <v>1727</v>
      </c>
      <c r="H112" t="str">
        <f>IF('Project information'!$C$7="Provisional Certification stage",E112,IF('Project information'!$C$7="Full Certification stage",F112,IF('Project information'!$C$7="Select","Select the Submission Stage in Project Information",B112)))</f>
        <v>Select the Submission Stage in Project Information</v>
      </c>
    </row>
    <row r="113" spans="1:8" ht="23.25" customHeight="1" x14ac:dyDescent="0.25">
      <c r="A113" s="1340"/>
      <c r="B113" s="1327" t="s">
        <v>755</v>
      </c>
      <c r="C113" s="1327"/>
      <c r="D113" s="1327"/>
      <c r="E113" s="1277" t="s">
        <v>59</v>
      </c>
      <c r="F113" s="1277" t="s">
        <v>2520</v>
      </c>
      <c r="G113" s="772" t="s">
        <v>1727</v>
      </c>
      <c r="H113" t="str">
        <f>IF('Project information'!$C$7="Provisional Certification stage",E113,IF('Project information'!$C$7="Full Certification stage",F113,IF('Project information'!$C$7="Select","Select the Submission Stage in Project Information",B113)))</f>
        <v>Select the Submission Stage in Project Information</v>
      </c>
    </row>
    <row r="114" spans="1:8" ht="25.5" x14ac:dyDescent="0.25">
      <c r="A114" s="1338" t="s">
        <v>1217</v>
      </c>
      <c r="B114" s="1327" t="s">
        <v>755</v>
      </c>
      <c r="C114" s="1327"/>
      <c r="D114" s="1327"/>
      <c r="E114" s="1277" t="s">
        <v>2542</v>
      </c>
      <c r="F114" s="1277" t="s">
        <v>2690</v>
      </c>
      <c r="G114" s="772" t="s">
        <v>1727</v>
      </c>
      <c r="H114" t="str">
        <f>IF('Project information'!$C$7="Provisional Certification stage",E114,IF('Project information'!$C$7="Full Certification stage",F114,IF('Project information'!$C$7="Select","Select the Submission Stage in Project Information",B114)))</f>
        <v>Select the Submission Stage in Project Information</v>
      </c>
    </row>
    <row r="115" spans="1:8" ht="25.5" x14ac:dyDescent="0.25">
      <c r="A115" s="1339"/>
      <c r="B115" s="1327" t="s">
        <v>755</v>
      </c>
      <c r="C115" s="1327"/>
      <c r="D115" s="1327"/>
      <c r="E115" s="1277" t="s">
        <v>2533</v>
      </c>
      <c r="F115" s="1277" t="s">
        <v>2689</v>
      </c>
    </row>
    <row r="116" spans="1:8" ht="25.5" x14ac:dyDescent="0.25">
      <c r="A116" s="1340"/>
      <c r="B116" s="1327" t="s">
        <v>755</v>
      </c>
      <c r="C116" s="1327"/>
      <c r="D116" s="1327"/>
      <c r="E116" s="1277" t="s">
        <v>59</v>
      </c>
      <c r="F116" s="1277" t="s">
        <v>2691</v>
      </c>
      <c r="G116" s="772" t="s">
        <v>1727</v>
      </c>
      <c r="H116" t="str">
        <f>IF('Project information'!$C$7="Provisional Certification stage",E116,IF('Project information'!$C$7="Full Certification stage",F116,IF('Project information'!$C$7="Select","Select the Submission Stage in Project Information",B116)))</f>
        <v>Select the Submission Stage in Project Information</v>
      </c>
    </row>
    <row r="117" spans="1:8" ht="25.5" x14ac:dyDescent="0.25">
      <c r="A117" s="1338" t="s">
        <v>1218</v>
      </c>
      <c r="B117" s="1327" t="s">
        <v>755</v>
      </c>
      <c r="C117" s="1327"/>
      <c r="D117" s="1327"/>
      <c r="E117" s="1277" t="s">
        <v>2542</v>
      </c>
      <c r="F117" s="1277" t="s">
        <v>2690</v>
      </c>
      <c r="G117" s="772" t="s">
        <v>1727</v>
      </c>
      <c r="H117" t="str">
        <f>IF('Project information'!$C$7="Provisional Certification stage",E117,IF('Project information'!$C$7="Full Certification stage",F117,IF('Project information'!$C$7="Select","Select the Submission Stage in Project Information",B117)))</f>
        <v>Select the Submission Stage in Project Information</v>
      </c>
    </row>
    <row r="118" spans="1:8" ht="29.25" customHeight="1" x14ac:dyDescent="0.25">
      <c r="A118" s="1339"/>
      <c r="B118" s="1327" t="s">
        <v>755</v>
      </c>
      <c r="C118" s="1327"/>
      <c r="D118" s="1327"/>
      <c r="E118" s="1277" t="s">
        <v>2533</v>
      </c>
      <c r="F118" s="1277" t="s">
        <v>2689</v>
      </c>
      <c r="G118" s="772" t="s">
        <v>1727</v>
      </c>
      <c r="H118" t="str">
        <f>IF('Project information'!$C$7="Provisional Certification stage",E118,IF('Project information'!$C$7="Full Certification stage",F118,IF('Project information'!$C$7="Select","Select the Submission Stage in Project Information",B118)))</f>
        <v>Select the Submission Stage in Project Information</v>
      </c>
    </row>
    <row r="119" spans="1:8" ht="29.25" customHeight="1" x14ac:dyDescent="0.25">
      <c r="A119" s="1339"/>
      <c r="B119" s="1327" t="s">
        <v>755</v>
      </c>
      <c r="C119" s="1327"/>
      <c r="D119" s="1327"/>
      <c r="E119" s="1277" t="s">
        <v>2534</v>
      </c>
      <c r="F119" s="1277" t="s">
        <v>2691</v>
      </c>
      <c r="G119" s="772" t="s">
        <v>1727</v>
      </c>
      <c r="H119" t="str">
        <f>IF('Project information'!$C$7="Provisional Certification stage",E119,IF('Project information'!$C$7="Full Certification stage",F119,IF('Project information'!$C$7="Select","Select the Submission Stage in Project Information",B119)))</f>
        <v>Select the Submission Stage in Project Information</v>
      </c>
    </row>
    <row r="120" spans="1:8" ht="45" customHeight="1" x14ac:dyDescent="0.25">
      <c r="A120" s="1340"/>
      <c r="B120" s="1327" t="s">
        <v>755</v>
      </c>
      <c r="C120" s="1327"/>
      <c r="D120" s="1327"/>
      <c r="E120" s="1277" t="s">
        <v>59</v>
      </c>
      <c r="F120" s="1277" t="s">
        <v>2692</v>
      </c>
      <c r="G120" s="772" t="s">
        <v>1727</v>
      </c>
      <c r="H120" t="str">
        <f>IF('Project information'!$C$7="Provisional Certification stage",E120,IF('Project information'!$C$7="Full Certification stage",F120,IF('Project information'!$C$7="Select","Select the Submission Stage in Project Information",B120)))</f>
        <v>Select the Submission Stage in Project Information</v>
      </c>
    </row>
    <row r="121" spans="1:8" ht="25.5" x14ac:dyDescent="0.25">
      <c r="A121" s="1338" t="s">
        <v>1219</v>
      </c>
      <c r="B121" s="1327" t="s">
        <v>755</v>
      </c>
      <c r="C121" s="1327"/>
      <c r="D121" s="1327"/>
      <c r="E121" s="1277" t="s">
        <v>2542</v>
      </c>
      <c r="F121" s="1277" t="s">
        <v>2690</v>
      </c>
      <c r="G121" s="772" t="s">
        <v>1727</v>
      </c>
      <c r="H121" t="str">
        <f>IF('Project information'!$C$7="Provisional Certification stage",E121,IF('Project information'!$C$7="Full Certification stage",F121,IF('Project information'!$C$7="Select","Select the Submission Stage in Project Information",B121)))</f>
        <v>Select the Submission Stage in Project Information</v>
      </c>
    </row>
    <row r="122" spans="1:8" ht="25.5" customHeight="1" x14ac:dyDescent="0.25">
      <c r="A122" s="1340"/>
      <c r="B122" s="1327" t="s">
        <v>755</v>
      </c>
      <c r="C122" s="1327"/>
      <c r="D122" s="1327"/>
      <c r="E122" s="1277" t="s">
        <v>2535</v>
      </c>
      <c r="F122" s="1277" t="s">
        <v>1650</v>
      </c>
      <c r="G122" s="772" t="s">
        <v>1727</v>
      </c>
      <c r="H122" t="str">
        <f>IF('Project information'!$C$7="Provisional Certification stage",E122,IF('Project information'!$C$7="Full Certification stage",F122,IF('Project information'!$C$7="Select","Select the Submission Stage in Project Information",B122)))</f>
        <v>Select the Submission Stage in Project Information</v>
      </c>
    </row>
    <row r="123" spans="1:8" ht="27" customHeight="1" x14ac:dyDescent="0.25">
      <c r="A123" s="1362" t="s">
        <v>1220</v>
      </c>
      <c r="B123" s="1327" t="s">
        <v>755</v>
      </c>
      <c r="C123" s="1327"/>
      <c r="D123" s="1327"/>
      <c r="E123" s="1277" t="s">
        <v>2542</v>
      </c>
      <c r="F123" s="1277" t="s">
        <v>2690</v>
      </c>
      <c r="G123" s="772" t="s">
        <v>1727</v>
      </c>
      <c r="H123" t="str">
        <f>IF('Project information'!$C$7="Provisional Certification stage",E123,IF('Project information'!$C$7="Full Certification stage",F123,IF('Project information'!$C$7="Select","Select the Submission Stage in Project Information",B123)))</f>
        <v>Select the Submission Stage in Project Information</v>
      </c>
    </row>
    <row r="124" spans="1:8" ht="39" customHeight="1" x14ac:dyDescent="0.25">
      <c r="A124" s="1363"/>
      <c r="B124" s="1327" t="s">
        <v>755</v>
      </c>
      <c r="C124" s="1327"/>
      <c r="D124" s="1327"/>
      <c r="E124" s="1277" t="s">
        <v>2785</v>
      </c>
      <c r="F124" s="1277" t="s">
        <v>2691</v>
      </c>
      <c r="G124" s="772" t="s">
        <v>1727</v>
      </c>
      <c r="H124" t="str">
        <f>IF('Project information'!$C$7="Provisional Certification stage",E124,IF('Project information'!$C$7="Full Certification stage",F124,IF('Project information'!$C$7="Select","Select the Submission Stage in Project Information",B124)))</f>
        <v>Select the Submission Stage in Project Information</v>
      </c>
    </row>
    <row r="125" spans="1:8" ht="39" customHeight="1" x14ac:dyDescent="0.25">
      <c r="A125" s="1363"/>
      <c r="B125" s="1327" t="s">
        <v>755</v>
      </c>
      <c r="C125" s="1327"/>
      <c r="D125" s="1327"/>
      <c r="E125" s="1277" t="s">
        <v>2786</v>
      </c>
      <c r="F125" s="1277" t="s">
        <v>2787</v>
      </c>
      <c r="G125" s="772" t="s">
        <v>1727</v>
      </c>
      <c r="H125" t="str">
        <f>IF('Project information'!$C$7="Provisional Certification stage",E125,IF('Project information'!$C$7="Full Certification stage",F125,IF('Project information'!$C$7="Select","Select the Submission Stage in Project Information",B125)))</f>
        <v>Select the Submission Stage in Project Information</v>
      </c>
    </row>
    <row r="126" spans="1:8" ht="42" customHeight="1" x14ac:dyDescent="0.25">
      <c r="A126" s="1363"/>
      <c r="B126" s="1327" t="s">
        <v>755</v>
      </c>
      <c r="C126" s="1327"/>
      <c r="D126" s="1327"/>
      <c r="E126" s="1277" t="s">
        <v>59</v>
      </c>
      <c r="F126" s="1277" t="s">
        <v>2792</v>
      </c>
      <c r="G126" s="772" t="s">
        <v>1727</v>
      </c>
      <c r="H126" t="str">
        <f>IF('Project information'!$C$7="Provisional Certification stage",E126,IF('Project information'!$C$7="Full Certification stage",F126,IF('Project information'!$C$7="Select","Select the Submission Stage in Project Information",B126)))</f>
        <v>Select the Submission Stage in Project Information</v>
      </c>
    </row>
    <row r="127" spans="1:8" ht="42" customHeight="1" x14ac:dyDescent="0.25">
      <c r="A127" s="1363"/>
      <c r="B127" s="1327" t="s">
        <v>755</v>
      </c>
      <c r="C127" s="1327"/>
      <c r="D127" s="1327"/>
      <c r="E127" s="1277" t="s">
        <v>2542</v>
      </c>
      <c r="F127" s="1277" t="s">
        <v>2690</v>
      </c>
      <c r="G127" s="772" t="s">
        <v>1727</v>
      </c>
      <c r="H127" t="str">
        <f>IF('Project information'!$C$7="Provisional Certification stage",E127,IF('Project information'!$C$7="Full Certification stage",F127,IF('Project information'!$C$7="Select","Select the Submission Stage in Project Information",B127)))</f>
        <v>Select the Submission Stage in Project Information</v>
      </c>
    </row>
    <row r="128" spans="1:8" ht="42" customHeight="1" x14ac:dyDescent="0.25">
      <c r="A128" s="1363"/>
      <c r="B128" s="1327" t="s">
        <v>755</v>
      </c>
      <c r="C128" s="1327"/>
      <c r="D128" s="1327"/>
      <c r="E128" s="1277" t="s">
        <v>2789</v>
      </c>
      <c r="F128" s="1277" t="s">
        <v>2691</v>
      </c>
      <c r="G128" s="772" t="s">
        <v>1727</v>
      </c>
      <c r="H128" t="str">
        <f>IF('Project information'!$C$7="Provisional Certification stage",E128,IF('Project information'!$C$7="Full Certification stage",F128,IF('Project information'!$C$7="Select","Select the Submission Stage in Project Information",B128)))</f>
        <v>Select the Submission Stage in Project Information</v>
      </c>
    </row>
    <row r="129" spans="1:8" ht="37.5" customHeight="1" x14ac:dyDescent="0.25">
      <c r="A129" s="1364"/>
      <c r="B129" s="1327" t="s">
        <v>755</v>
      </c>
      <c r="C129" s="1327"/>
      <c r="D129" s="1327"/>
      <c r="E129" s="1277" t="s">
        <v>59</v>
      </c>
      <c r="F129" s="1277" t="s">
        <v>2790</v>
      </c>
      <c r="G129" s="772" t="s">
        <v>1727</v>
      </c>
      <c r="H129" t="str">
        <f>IF('Project information'!$C$7="Provisional Certification stage",E129,IF('Project information'!$C$7="Full Certification stage",F129,IF('Project information'!$C$7="Select","Select the Submission Stage in Project Information",B129)))</f>
        <v>Select the Submission Stage in Project Information</v>
      </c>
    </row>
    <row r="130" spans="1:8" ht="37.5" customHeight="1" x14ac:dyDescent="0.25">
      <c r="A130" s="1338" t="s">
        <v>1221</v>
      </c>
      <c r="B130" s="1327" t="s">
        <v>755</v>
      </c>
      <c r="C130" s="1327"/>
      <c r="D130" s="1327"/>
      <c r="E130" s="1277" t="s">
        <v>2686</v>
      </c>
      <c r="F130" s="1277" t="s">
        <v>2688</v>
      </c>
      <c r="G130" s="772" t="s">
        <v>1727</v>
      </c>
      <c r="H130" t="str">
        <f>IF('Project information'!$C$7="Provisional Certification stage",E130,IF('Project information'!$C$7="Full Certification stage",F130,IF('Project information'!$C$7="Select","Select the Submission Stage in Project Information",B130)))</f>
        <v>Select the Submission Stage in Project Information</v>
      </c>
    </row>
    <row r="131" spans="1:8" ht="30.75" customHeight="1" x14ac:dyDescent="0.25">
      <c r="A131" s="1340"/>
      <c r="B131" s="1327" t="s">
        <v>755</v>
      </c>
      <c r="C131" s="1327"/>
      <c r="D131" s="1327"/>
      <c r="E131" s="1277" t="s">
        <v>2685</v>
      </c>
      <c r="F131" s="1277" t="s">
        <v>2687</v>
      </c>
      <c r="G131" s="772" t="s">
        <v>1727</v>
      </c>
      <c r="H131" t="str">
        <f>IF('Project information'!$C$7="Provisional Certification stage",E131,IF('Project information'!$C$7="Full Certification stage",F131,IF('Project information'!$C$7="Select","Select the Submission Stage in Project Information",B131)))</f>
        <v>Select the Submission Stage in Project Information</v>
      </c>
    </row>
    <row r="132" spans="1:8" ht="25.5" customHeight="1" x14ac:dyDescent="0.25">
      <c r="A132" s="1338" t="s">
        <v>1732</v>
      </c>
      <c r="B132" s="1327" t="s">
        <v>755</v>
      </c>
      <c r="C132" s="1327"/>
      <c r="D132" s="1327"/>
      <c r="E132" s="1277" t="s">
        <v>2539</v>
      </c>
      <c r="F132" s="1277" t="s">
        <v>2684</v>
      </c>
      <c r="G132" s="772" t="s">
        <v>1727</v>
      </c>
      <c r="H132" t="str">
        <f>IF('Project information'!$C$7="Provisional Certification stage",E132,IF('Project information'!$C$7="Full Certification stage",F132,IF('Project information'!$C$7="Select","Select the Submission Stage in Project Information",B132)))</f>
        <v>Select the Submission Stage in Project Information</v>
      </c>
    </row>
    <row r="133" spans="1:8" ht="25.5" customHeight="1" x14ac:dyDescent="0.25">
      <c r="A133" s="1340"/>
      <c r="B133" s="1327" t="s">
        <v>755</v>
      </c>
      <c r="C133" s="1327"/>
      <c r="D133" s="1327"/>
      <c r="E133" s="1277" t="s">
        <v>2682</v>
      </c>
      <c r="F133" s="1277" t="s">
        <v>2683</v>
      </c>
      <c r="G133" s="772" t="s">
        <v>1727</v>
      </c>
      <c r="H133" t="str">
        <f>IF('Project information'!$C$7="Provisional Certification stage",E133,IF('Project information'!$C$7="Full Certification stage",F133,IF('Project information'!$C$7="Select","Select the Submission Stage in Project Information",B133)))</f>
        <v>Select the Submission Stage in Project Information</v>
      </c>
    </row>
    <row r="134" spans="1:8" ht="38.25" customHeight="1" x14ac:dyDescent="0.25">
      <c r="A134" s="1338" t="s">
        <v>1732</v>
      </c>
      <c r="B134" s="1327" t="s">
        <v>755</v>
      </c>
      <c r="C134" s="1327"/>
      <c r="D134" s="1327"/>
      <c r="E134" s="1277" t="s">
        <v>2675</v>
      </c>
      <c r="F134" s="1277" t="s">
        <v>2680</v>
      </c>
      <c r="G134" s="772" t="s">
        <v>1727</v>
      </c>
      <c r="H134" t="str">
        <f>IF('Project information'!$C$7="Provisional Certification stage",E134,IF('Project information'!$C$7="Full Certification stage",F134,IF('Project information'!$C$7="Select","Select the Submission Stage in Project Information",B134)))</f>
        <v>Select the Submission Stage in Project Information</v>
      </c>
    </row>
    <row r="135" spans="1:8" ht="38.25" customHeight="1" x14ac:dyDescent="0.25">
      <c r="A135" s="1340"/>
      <c r="B135" s="1327" t="s">
        <v>755</v>
      </c>
      <c r="C135" s="1327"/>
      <c r="D135" s="1327"/>
      <c r="E135" s="1277" t="s">
        <v>2540</v>
      </c>
      <c r="F135" s="1277" t="s">
        <v>2679</v>
      </c>
      <c r="G135" s="772" t="s">
        <v>1727</v>
      </c>
      <c r="H135" t="str">
        <f>IF('Project information'!$C$7="Provisional Certification stage",E135,IF('Project information'!$C$7="Full Certification stage",F135,IF('Project information'!$C$7="Select","Select the Submission Stage in Project Information",B135)))</f>
        <v>Select the Submission Stage in Project Information</v>
      </c>
    </row>
    <row r="136" spans="1:8" ht="33" customHeight="1" x14ac:dyDescent="0.25">
      <c r="A136" s="1338" t="s">
        <v>1733</v>
      </c>
      <c r="B136" s="1327" t="s">
        <v>755</v>
      </c>
      <c r="C136" s="1327"/>
      <c r="D136" s="1327"/>
      <c r="E136" s="1277" t="s">
        <v>2541</v>
      </c>
      <c r="F136" s="1277" t="s">
        <v>2673</v>
      </c>
      <c r="G136" s="772" t="s">
        <v>1727</v>
      </c>
      <c r="H136" t="str">
        <f>IF('Project information'!$C$7="Provisional Certification stage",E136,IF('Project information'!$C$7="Full Certification stage",F136,IF('Project information'!$C$7="Select","Select the Submission Stage in Project Information",B136)))</f>
        <v>Select the Submission Stage in Project Information</v>
      </c>
    </row>
    <row r="137" spans="1:8" ht="27" customHeight="1" x14ac:dyDescent="0.25">
      <c r="A137" s="1340"/>
      <c r="B137" s="1327" t="s">
        <v>755</v>
      </c>
      <c r="C137" s="1327"/>
      <c r="D137" s="1327"/>
      <c r="E137" s="1277" t="s">
        <v>59</v>
      </c>
      <c r="F137" s="1277" t="s">
        <v>2674</v>
      </c>
      <c r="G137" s="772" t="s">
        <v>1727</v>
      </c>
      <c r="H137" t="str">
        <f>IF('Project information'!$C$7="Provisional Certification stage",E137,IF('Project information'!$C$7="Full Certification stage",F137,IF('Project information'!$C$7="Select","Select the Submission Stage in Project Information",B137)))</f>
        <v>Select the Submission Stage in Project Information</v>
      </c>
    </row>
    <row r="138" spans="1:8" ht="27.75" customHeight="1" x14ac:dyDescent="0.25">
      <c r="A138" s="1338" t="s">
        <v>1734</v>
      </c>
      <c r="B138" s="1327" t="s">
        <v>755</v>
      </c>
      <c r="C138" s="1327"/>
      <c r="D138" s="1327"/>
      <c r="E138" s="1277" t="s">
        <v>2676</v>
      </c>
      <c r="F138" s="1277" t="s">
        <v>2672</v>
      </c>
      <c r="G138" s="772" t="s">
        <v>1727</v>
      </c>
      <c r="H138" t="str">
        <f>IF('Project information'!$C$7="Provisional Certification stage",E138,IF('Project information'!$C$7="Full Certification stage",F138,IF('Project information'!$C$7="Select","Select the Submission Stage in Project Information",B138)))</f>
        <v>Select the Submission Stage in Project Information</v>
      </c>
    </row>
    <row r="139" spans="1:8" ht="27.75" customHeight="1" x14ac:dyDescent="0.25">
      <c r="A139" s="1340"/>
      <c r="B139" s="1327" t="s">
        <v>755</v>
      </c>
      <c r="C139" s="1327"/>
      <c r="D139" s="1327"/>
      <c r="E139" s="1277" t="s">
        <v>59</v>
      </c>
      <c r="F139" s="1277" t="s">
        <v>59</v>
      </c>
      <c r="G139" s="772" t="s">
        <v>1727</v>
      </c>
      <c r="H139" t="str">
        <f>IF('Project information'!$C$7="Provisional Certification stage",E139,IF('Project information'!$C$7="Full Certification stage",F139,IF('Project information'!$C$7="Select","Select the Submission Stage in Project Information",B139)))</f>
        <v>Select the Submission Stage in Project Information</v>
      </c>
    </row>
    <row r="140" spans="1:8" ht="21" customHeight="1" x14ac:dyDescent="0.25">
      <c r="A140" s="1338" t="s">
        <v>1375</v>
      </c>
      <c r="B140" s="1327" t="s">
        <v>755</v>
      </c>
      <c r="C140" s="1327"/>
      <c r="D140" s="1327"/>
      <c r="E140" s="1277" t="s">
        <v>2676</v>
      </c>
      <c r="F140" s="1277" t="s">
        <v>2419</v>
      </c>
      <c r="G140" s="772" t="s">
        <v>1727</v>
      </c>
      <c r="H140" t="str">
        <f>IF('Project information'!$C$7="Provisional Certification stage",E140,IF('Project information'!$C$7="Full Certification stage",F140,IF('Project information'!$C$7="Select","Select the Submission Stage in Project Information",B140)))</f>
        <v>Select the Submission Stage in Project Information</v>
      </c>
    </row>
    <row r="141" spans="1:8" ht="21" customHeight="1" x14ac:dyDescent="0.25">
      <c r="A141" s="1340"/>
      <c r="B141" s="1327" t="s">
        <v>755</v>
      </c>
      <c r="C141" s="1327"/>
      <c r="D141" s="1327"/>
      <c r="E141" s="1277" t="s">
        <v>59</v>
      </c>
      <c r="F141" s="1277"/>
      <c r="G141" s="772" t="s">
        <v>1727</v>
      </c>
      <c r="H141" t="str">
        <f>IF('Project information'!$C$7="Provisional Certification stage",E141,IF('Project information'!$C$7="Full Certification stage",F141,IF('Project information'!$C$7="Select","Select the Submission Stage in Project Information",B141)))</f>
        <v>Select the Submission Stage in Project Information</v>
      </c>
    </row>
    <row r="142" spans="1:8" ht="24.75" customHeight="1" x14ac:dyDescent="0.25">
      <c r="A142" s="1338" t="s">
        <v>1374</v>
      </c>
      <c r="B142" s="1327" t="s">
        <v>755</v>
      </c>
      <c r="C142" s="1327"/>
      <c r="D142" s="1327"/>
      <c r="E142" s="1277" t="s">
        <v>755</v>
      </c>
      <c r="F142" s="1277" t="s">
        <v>2665</v>
      </c>
      <c r="G142" s="772" t="s">
        <v>1727</v>
      </c>
      <c r="H142" t="str">
        <f>IF('Project information'!$C$7="Provisional Certification stage",E142,IF('Project information'!$C$7="Full Certification stage",F142,IF('Project information'!$C$7="Select","Select the Submission Stage in Project Information",B142)))</f>
        <v>Select the Submission Stage in Project Information</v>
      </c>
    </row>
    <row r="143" spans="1:8" ht="25.5" customHeight="1" x14ac:dyDescent="0.25">
      <c r="A143" s="1340"/>
      <c r="B143" s="1327" t="s">
        <v>755</v>
      </c>
      <c r="C143" s="1327"/>
      <c r="D143" s="1327"/>
      <c r="E143" s="1277" t="s">
        <v>59</v>
      </c>
      <c r="F143" s="1277" t="s">
        <v>2664</v>
      </c>
      <c r="G143" s="772" t="s">
        <v>1727</v>
      </c>
      <c r="H143" t="str">
        <f>IF('Project information'!$C$7="Provisional Certification stage",E143,IF('Project information'!$C$7="Full Certification stage",F143,IF('Project information'!$C$7="Select","Select the Submission Stage in Project Information",B143)))</f>
        <v>Select the Submission Stage in Project Information</v>
      </c>
    </row>
    <row r="144" spans="1:8" ht="21" customHeight="1" x14ac:dyDescent="0.25">
      <c r="A144" s="1338" t="s">
        <v>319</v>
      </c>
      <c r="B144" s="1327" t="s">
        <v>755</v>
      </c>
      <c r="C144" s="1327"/>
      <c r="D144" s="1327"/>
      <c r="E144" s="1277" t="s">
        <v>755</v>
      </c>
      <c r="F144" s="1277" t="s">
        <v>2698</v>
      </c>
      <c r="G144" s="772" t="s">
        <v>1727</v>
      </c>
      <c r="H144" t="str">
        <f>IF('Project information'!$C$7="Provisional Certification stage",E144,IF('Project information'!$C$7="Full Certification stage",F144,IF('Project information'!$C$7="Select","Select the Submission Stage in Project Information",B144)))</f>
        <v>Select the Submission Stage in Project Information</v>
      </c>
    </row>
    <row r="145" spans="1:8" ht="38.25" customHeight="1" x14ac:dyDescent="0.25">
      <c r="A145" s="1340"/>
      <c r="B145" s="1327" t="s">
        <v>755</v>
      </c>
      <c r="C145" s="1327"/>
      <c r="D145" s="1327"/>
      <c r="E145" s="1277" t="s">
        <v>59</v>
      </c>
      <c r="F145" s="1277" t="s">
        <v>2697</v>
      </c>
      <c r="G145" s="772" t="s">
        <v>1727</v>
      </c>
      <c r="H145" t="str">
        <f>IF('Project information'!$C$7="Provisional Certification stage",E145,IF('Project information'!$C$7="Full Certification stage",F145,IF('Project information'!$C$7="Select","Select the Submission Stage in Project Information",B145)))</f>
        <v>Select the Submission Stage in Project Information</v>
      </c>
    </row>
    <row r="146" spans="1:8" ht="38.25" x14ac:dyDescent="0.25">
      <c r="A146" s="1356" t="s">
        <v>2275</v>
      </c>
      <c r="B146" s="1327" t="s">
        <v>755</v>
      </c>
      <c r="C146" s="1327"/>
      <c r="D146" s="1327"/>
      <c r="E146" s="1277" t="s">
        <v>2618</v>
      </c>
      <c r="F146" s="1277" t="s">
        <v>2619</v>
      </c>
      <c r="G146" s="772" t="s">
        <v>1727</v>
      </c>
      <c r="H146" t="str">
        <f>IF('Project information'!$C$7="Provisional Certification stage",E146,IF('Project information'!$C$7="Full Certification stage",F146,IF('Project information'!$C$7="Select","Select the Submission Stage in Project Information",B146)))</f>
        <v>Select the Submission Stage in Project Information</v>
      </c>
    </row>
    <row r="147" spans="1:8" x14ac:dyDescent="0.25">
      <c r="A147" s="1357"/>
      <c r="B147" s="1327" t="s">
        <v>755</v>
      </c>
      <c r="C147" s="1327"/>
      <c r="D147" s="1327"/>
      <c r="E147" s="1277" t="s">
        <v>59</v>
      </c>
      <c r="F147" s="1277" t="s">
        <v>59</v>
      </c>
      <c r="G147" s="772" t="s">
        <v>1727</v>
      </c>
      <c r="H147" t="str">
        <f>IF('Project information'!$C$7="Provisional Certification stage",E147,IF('Project information'!$C$7="Full Certification stage",F147,IF('Project information'!$C$7="Select","Select the Submission Stage in Project Information",B147)))</f>
        <v>Select the Submission Stage in Project Information</v>
      </c>
    </row>
    <row r="148" spans="1:8" ht="38.25" x14ac:dyDescent="0.25">
      <c r="A148" s="1356" t="s">
        <v>1050</v>
      </c>
      <c r="B148" s="1327" t="s">
        <v>755</v>
      </c>
      <c r="C148" s="1327"/>
      <c r="D148" s="1327"/>
      <c r="E148" s="1277" t="s">
        <v>2621</v>
      </c>
      <c r="F148" s="1277" t="s">
        <v>2620</v>
      </c>
      <c r="G148" s="772" t="s">
        <v>1727</v>
      </c>
      <c r="H148" t="str">
        <f>IF('Project information'!$C$7="Provisional Certification stage",E148,IF('Project information'!$C$7="Full Certification stage",F148,IF('Project information'!$C$7="Select","Select the Submission Stage in Project Information",B148)))</f>
        <v>Select the Submission Stage in Project Information</v>
      </c>
    </row>
    <row r="149" spans="1:8" x14ac:dyDescent="0.25">
      <c r="A149" s="1357"/>
      <c r="B149" s="1327" t="s">
        <v>755</v>
      </c>
      <c r="C149" s="1327"/>
      <c r="D149" s="1327"/>
      <c r="E149" s="1277" t="s">
        <v>59</v>
      </c>
      <c r="F149" s="1277" t="s">
        <v>59</v>
      </c>
      <c r="G149" s="772" t="s">
        <v>1727</v>
      </c>
      <c r="H149" t="str">
        <f>IF('Project information'!$C$7="Provisional Certification stage",E149,IF('Project information'!$C$7="Full Certification stage",F149,IF('Project information'!$C$7="Select","Select the Submission Stage in Project Information",B149)))</f>
        <v>Select the Submission Stage in Project Information</v>
      </c>
    </row>
    <row r="150" spans="1:8" ht="19.5" customHeight="1" x14ac:dyDescent="0.25">
      <c r="A150" s="1256" t="s">
        <v>1133</v>
      </c>
      <c r="B150" s="1327" t="s">
        <v>755</v>
      </c>
      <c r="C150" s="1327"/>
      <c r="D150" s="1327"/>
      <c r="E150" s="1277" t="s">
        <v>1453</v>
      </c>
      <c r="F150" s="1277" t="s">
        <v>2389</v>
      </c>
      <c r="G150" s="772" t="s">
        <v>1727</v>
      </c>
      <c r="H150" t="str">
        <f>IF('Project information'!$C$7="Provisional Certification stage",E150,IF('Project information'!$C$7="Full Certification stage",F150,IF('Project information'!$C$7="Select","Select the Submission Stage in Project Information",B150)))</f>
        <v>Select the Submission Stage in Project Information</v>
      </c>
    </row>
    <row r="151" spans="1:8" ht="51" x14ac:dyDescent="0.25">
      <c r="A151" s="1256" t="s">
        <v>1132</v>
      </c>
      <c r="B151" s="1327" t="s">
        <v>755</v>
      </c>
      <c r="C151" s="1327"/>
      <c r="D151" s="1327"/>
      <c r="E151" s="1277" t="s">
        <v>1720</v>
      </c>
      <c r="F151" s="1277" t="s">
        <v>2392</v>
      </c>
      <c r="G151" s="772" t="s">
        <v>1727</v>
      </c>
      <c r="H151" t="str">
        <f>IF('Project information'!$C$7="Provisional Certification stage",E151,IF('Project information'!$C$7="Full Certification stage",F151,IF('Project information'!$C$7="Select","Select the Submission Stage in Project Information",B151)))</f>
        <v>Select the Submission Stage in Project Information</v>
      </c>
    </row>
    <row r="152" spans="1:8" ht="25.5" x14ac:dyDescent="0.25">
      <c r="A152" s="1356" t="s">
        <v>344</v>
      </c>
      <c r="B152" s="1327" t="s">
        <v>755</v>
      </c>
      <c r="C152" s="1327"/>
      <c r="D152" s="1327"/>
      <c r="E152" s="1277" t="s">
        <v>2393</v>
      </c>
      <c r="F152" s="1277" t="s">
        <v>2394</v>
      </c>
      <c r="G152" s="772" t="s">
        <v>1727</v>
      </c>
      <c r="H152" t="str">
        <f>IF('Project information'!$C$7="Provisional Certification stage",E152,IF('Project information'!$C$7="Full Certification stage",F152,IF('Project information'!$C$7="Select","Select the Submission Stage in Project Information",B152)))</f>
        <v>Select the Submission Stage in Project Information</v>
      </c>
    </row>
    <row r="153" spans="1:8" x14ac:dyDescent="0.25">
      <c r="A153" s="1357"/>
      <c r="B153" s="1327" t="s">
        <v>755</v>
      </c>
      <c r="C153" s="1327"/>
      <c r="D153" s="1327"/>
      <c r="E153" s="1277" t="s">
        <v>59</v>
      </c>
      <c r="F153" s="1277" t="s">
        <v>59</v>
      </c>
      <c r="G153" s="772" t="s">
        <v>1727</v>
      </c>
      <c r="H153" t="str">
        <f>IF('Project information'!$C$7="Provisional Certification stage",E153,IF('Project information'!$C$7="Full Certification stage",F153,IF('Project information'!$C$7="Select","Select the Submission Stage in Project Information",B153)))</f>
        <v>Select the Submission Stage in Project Information</v>
      </c>
    </row>
    <row r="154" spans="1:8" ht="25.5" x14ac:dyDescent="0.25">
      <c r="A154" s="1356" t="s">
        <v>876</v>
      </c>
      <c r="B154" s="1327" t="s">
        <v>755</v>
      </c>
      <c r="C154" s="1327"/>
      <c r="D154" s="1327"/>
      <c r="E154" s="1277" t="s">
        <v>1439</v>
      </c>
      <c r="F154" s="1277" t="s">
        <v>2395</v>
      </c>
      <c r="G154" s="772" t="s">
        <v>1727</v>
      </c>
      <c r="H154" t="str">
        <f>IF('Project information'!$C$7="Provisional Certification stage",E154,IF('Project information'!$C$7="Full Certification stage",F154,IF('Project information'!$C$7="Select","Select the Submission Stage in Project Information",B154)))</f>
        <v>Select the Submission Stage in Project Information</v>
      </c>
    </row>
    <row r="155" spans="1:8" ht="38.25" x14ac:dyDescent="0.25">
      <c r="A155" s="1357"/>
      <c r="B155" s="1327" t="s">
        <v>755</v>
      </c>
      <c r="C155" s="1327"/>
      <c r="D155" s="1327"/>
      <c r="E155" s="1277" t="s">
        <v>59</v>
      </c>
      <c r="F155" s="1277" t="s">
        <v>2396</v>
      </c>
      <c r="G155" s="772" t="s">
        <v>1727</v>
      </c>
      <c r="H155" t="str">
        <f>IF('Project information'!$C$7="Provisional Certification stage",E155,IF('Project information'!$C$7="Full Certification stage",F155,IF('Project information'!$C$7="Select","Select the Submission Stage in Project Information",B155)))</f>
        <v>Select the Submission Stage in Project Information</v>
      </c>
    </row>
    <row r="156" spans="1:8" ht="38.25" x14ac:dyDescent="0.25">
      <c r="A156" s="1356" t="s">
        <v>877</v>
      </c>
      <c r="B156" s="1327" t="s">
        <v>755</v>
      </c>
      <c r="C156" s="1327"/>
      <c r="D156" s="1327"/>
      <c r="E156" s="1277" t="s">
        <v>2614</v>
      </c>
      <c r="F156" s="1277" t="s">
        <v>2615</v>
      </c>
      <c r="G156" s="772" t="s">
        <v>1727</v>
      </c>
      <c r="H156" t="str">
        <f>IF('Project information'!$C$7="Provisional Certification stage",E156,IF('Project information'!$C$7="Full Certification stage",F156,IF('Project information'!$C$7="Select","Select the Submission Stage in Project Information",B156)))</f>
        <v>Select the Submission Stage in Project Information</v>
      </c>
    </row>
    <row r="157" spans="1:8" x14ac:dyDescent="0.25">
      <c r="A157" s="1357"/>
      <c r="B157" s="1327" t="s">
        <v>755</v>
      </c>
      <c r="C157" s="1327"/>
      <c r="D157" s="1327"/>
      <c r="E157" s="1277" t="s">
        <v>59</v>
      </c>
      <c r="F157" s="1277" t="s">
        <v>59</v>
      </c>
      <c r="G157" s="772" t="s">
        <v>1727</v>
      </c>
      <c r="H157" t="str">
        <f>IF('Project information'!$C$7="Provisional Certification stage",E157,IF('Project information'!$C$7="Full Certification stage",F157,IF('Project information'!$C$7="Select","Select the Submission Stage in Project Information",B157)))</f>
        <v>Select the Submission Stage in Project Information</v>
      </c>
    </row>
    <row r="158" spans="1:8" ht="38.25" x14ac:dyDescent="0.25">
      <c r="A158" s="1356" t="s">
        <v>886</v>
      </c>
      <c r="B158" s="1327" t="s">
        <v>755</v>
      </c>
      <c r="C158" s="1327"/>
      <c r="D158" s="1327"/>
      <c r="E158" s="1277" t="s">
        <v>2616</v>
      </c>
      <c r="F158" s="1277" t="s">
        <v>2617</v>
      </c>
      <c r="G158" s="772" t="s">
        <v>1727</v>
      </c>
      <c r="H158" t="str">
        <f>IF('Project information'!$C$7="Provisional Certification stage",E158,IF('Project information'!$C$7="Full Certification stage",F158,IF('Project information'!$C$7="Select","Select the Submission Stage in Project Information",B158)))</f>
        <v>Select the Submission Stage in Project Information</v>
      </c>
    </row>
    <row r="159" spans="1:8" ht="25.5" x14ac:dyDescent="0.25">
      <c r="A159" s="1357"/>
      <c r="B159" s="1327" t="s">
        <v>755</v>
      </c>
      <c r="C159" s="1327"/>
      <c r="D159" s="1327"/>
      <c r="E159" s="1277" t="s">
        <v>2430</v>
      </c>
      <c r="F159" s="1277" t="s">
        <v>2398</v>
      </c>
      <c r="G159" s="772" t="s">
        <v>1727</v>
      </c>
      <c r="H159" t="str">
        <f>IF('Project information'!$C$7="Provisional Certification stage",E159,IF('Project information'!$C$7="Full Certification stage",F159,IF('Project information'!$C$7="Select","Select the Submission Stage in Project Information",B159)))</f>
        <v>Select the Submission Stage in Project Information</v>
      </c>
    </row>
    <row r="160" spans="1:8" x14ac:dyDescent="0.25">
      <c r="A160" s="1356" t="s">
        <v>1378</v>
      </c>
      <c r="B160" s="1327" t="s">
        <v>755</v>
      </c>
      <c r="C160" s="1327"/>
      <c r="D160" s="1327"/>
      <c r="E160" s="1277" t="s">
        <v>1451</v>
      </c>
      <c r="F160" s="1277" t="s">
        <v>1450</v>
      </c>
      <c r="G160" s="772" t="s">
        <v>1727</v>
      </c>
      <c r="H160" t="str">
        <f>IF('Project information'!$C$7="Provisional Certification stage",E160,IF('Project information'!$C$7="Full Certification stage",F160,IF('Project information'!$C$7="Select","Select the Submission Stage in Project Information",B160)))</f>
        <v>Select the Submission Stage in Project Information</v>
      </c>
    </row>
    <row r="161" spans="1:8" ht="25.5" x14ac:dyDescent="0.25">
      <c r="A161" s="1357"/>
      <c r="B161" s="1327" t="s">
        <v>755</v>
      </c>
      <c r="C161" s="1327"/>
      <c r="D161" s="1327"/>
      <c r="E161" s="1277" t="s">
        <v>59</v>
      </c>
      <c r="F161" s="1277" t="s">
        <v>2397</v>
      </c>
      <c r="G161" s="772" t="s">
        <v>1727</v>
      </c>
      <c r="H161" t="str">
        <f>IF('Project information'!$C$7="Provisional Certification stage",E161,IF('Project information'!$C$7="Full Certification stage",F161,IF('Project information'!$C$7="Select","Select the Submission Stage in Project Information",B161)))</f>
        <v>Select the Submission Stage in Project Information</v>
      </c>
    </row>
    <row r="162" spans="1:8" ht="25.5" x14ac:dyDescent="0.25">
      <c r="A162" s="1356" t="s">
        <v>1379</v>
      </c>
      <c r="B162" s="1327" t="s">
        <v>755</v>
      </c>
      <c r="C162" s="1327"/>
      <c r="D162" s="1327"/>
      <c r="E162" s="1277" t="s">
        <v>2431</v>
      </c>
      <c r="F162" s="1277" t="s">
        <v>2399</v>
      </c>
      <c r="G162" s="772" t="s">
        <v>1727</v>
      </c>
      <c r="H162" t="str">
        <f>IF('Project information'!$C$7="Provisional Certification stage",E162,IF('Project information'!$C$7="Full Certification stage",F162,IF('Project information'!$C$7="Select","Select the Submission Stage in Project Information",B162)))</f>
        <v>Select the Submission Stage in Project Information</v>
      </c>
    </row>
    <row r="163" spans="1:8" ht="38.25" x14ac:dyDescent="0.25">
      <c r="A163" s="1357"/>
      <c r="B163" s="1327" t="s">
        <v>755</v>
      </c>
      <c r="C163" s="1327"/>
      <c r="D163" s="1327"/>
      <c r="E163" s="1277" t="s">
        <v>59</v>
      </c>
      <c r="F163" s="1277" t="s">
        <v>2432</v>
      </c>
      <c r="G163" s="772" t="s">
        <v>1727</v>
      </c>
      <c r="H163" t="str">
        <f>IF('Project information'!$C$7="Provisional Certification stage",E163,IF('Project information'!$C$7="Full Certification stage",F163,IF('Project information'!$C$7="Select","Select the Submission Stage in Project Information",B163)))</f>
        <v>Select the Submission Stage in Project Information</v>
      </c>
    </row>
    <row r="164" spans="1:8" ht="25.5" x14ac:dyDescent="0.25">
      <c r="A164" s="1356" t="s">
        <v>348</v>
      </c>
      <c r="B164" s="1327" t="s">
        <v>755</v>
      </c>
      <c r="C164" s="1327"/>
      <c r="D164" s="1327"/>
      <c r="E164" s="1277" t="s">
        <v>2401</v>
      </c>
      <c r="F164" s="1277" t="s">
        <v>2404</v>
      </c>
      <c r="G164" s="772" t="s">
        <v>1727</v>
      </c>
      <c r="H164" t="str">
        <f>IF('Project information'!$C$7="Provisional Certification stage",E164,IF('Project information'!$C$7="Full Certification stage",F164,IF('Project information'!$C$7="Select","Select the Submission Stage in Project Information",B164)))</f>
        <v>Select the Submission Stage in Project Information</v>
      </c>
    </row>
    <row r="165" spans="1:8" ht="25.5" x14ac:dyDescent="0.25">
      <c r="A165" s="1358"/>
      <c r="B165" s="1327" t="s">
        <v>755</v>
      </c>
      <c r="C165" s="1327"/>
      <c r="D165" s="1327"/>
      <c r="E165" s="1277" t="s">
        <v>59</v>
      </c>
      <c r="F165" s="1277" t="s">
        <v>2402</v>
      </c>
      <c r="G165" s="772" t="s">
        <v>1727</v>
      </c>
      <c r="H165" t="str">
        <f>IF('Project information'!$C$7="Provisional Certification stage",E165,IF('Project information'!$C$7="Full Certification stage",F165,IF('Project information'!$C$7="Select","Select the Submission Stage in Project Information",B165)))</f>
        <v>Select the Submission Stage in Project Information</v>
      </c>
    </row>
    <row r="166" spans="1:8" ht="38.25" x14ac:dyDescent="0.25">
      <c r="A166" s="1358"/>
      <c r="B166" s="1327" t="s">
        <v>755</v>
      </c>
      <c r="C166" s="1327"/>
      <c r="D166" s="1327"/>
      <c r="E166" s="1277" t="s">
        <v>2400</v>
      </c>
      <c r="F166" s="1277" t="s">
        <v>2404</v>
      </c>
      <c r="G166" s="772" t="s">
        <v>1727</v>
      </c>
      <c r="H166" t="str">
        <f>IF('Project information'!$C$7="Provisional Certification stage",E166,IF('Project information'!$C$7="Full Certification stage",F166,IF('Project information'!$C$7="Select","Select the Submission Stage in Project Information",B166)))</f>
        <v>Select the Submission Stage in Project Information</v>
      </c>
    </row>
    <row r="167" spans="1:8" ht="51" x14ac:dyDescent="0.25">
      <c r="A167" s="1357"/>
      <c r="B167" s="1327" t="s">
        <v>755</v>
      </c>
      <c r="C167" s="1327"/>
      <c r="D167" s="1327"/>
      <c r="E167" s="1277" t="s">
        <v>59</v>
      </c>
      <c r="F167" s="1277" t="s">
        <v>2403</v>
      </c>
      <c r="G167" s="772" t="s">
        <v>1727</v>
      </c>
      <c r="H167" t="str">
        <f>IF('Project information'!$C$7="Provisional Certification stage",E167,IF('Project information'!$C$7="Full Certification stage",F167,IF('Project information'!$C$7="Select","Select the Submission Stage in Project Information",B167)))</f>
        <v>Select the Submission Stage in Project Information</v>
      </c>
    </row>
    <row r="168" spans="1:8" ht="27.75" customHeight="1" x14ac:dyDescent="0.25">
      <c r="A168" s="1325" t="s">
        <v>323</v>
      </c>
      <c r="B168" s="1327" t="s">
        <v>755</v>
      </c>
      <c r="C168" s="1327"/>
      <c r="D168" s="1327"/>
      <c r="E168" s="1277" t="s">
        <v>2406</v>
      </c>
      <c r="F168" s="1277" t="s">
        <v>2407</v>
      </c>
      <c r="G168" s="772" t="s">
        <v>1727</v>
      </c>
      <c r="H168" t="str">
        <f>IF('Project information'!$C$7="Provisional Certification stage",E168,IF('Project information'!$C$7="Full Certification stage",F168,IF('Project information'!$C$7="Select","Select the Submission Stage in Project Information",B168)))</f>
        <v>Select the Submission Stage in Project Information</v>
      </c>
    </row>
    <row r="169" spans="1:8" ht="27.75" customHeight="1" x14ac:dyDescent="0.25">
      <c r="A169" s="1326"/>
      <c r="B169" s="1327" t="s">
        <v>755</v>
      </c>
      <c r="C169" s="1327"/>
      <c r="D169" s="1327"/>
      <c r="E169" s="1277" t="s">
        <v>1026</v>
      </c>
      <c r="F169" s="1277" t="s">
        <v>2405</v>
      </c>
      <c r="G169" s="772" t="s">
        <v>1727</v>
      </c>
      <c r="H169" t="str">
        <f>IF('Project information'!$C$7="Provisional Certification stage",E169,IF('Project information'!$C$7="Full Certification stage",F169,IF('Project information'!$C$7="Select","Select the Submission Stage in Project Information",B169)))</f>
        <v>Select the Submission Stage in Project Information</v>
      </c>
    </row>
    <row r="170" spans="1:8" ht="30.75" customHeight="1" x14ac:dyDescent="0.25">
      <c r="A170" s="1325" t="s">
        <v>1265</v>
      </c>
      <c r="B170" s="1327" t="s">
        <v>755</v>
      </c>
      <c r="C170" s="1327"/>
      <c r="D170" s="1327"/>
      <c r="E170" s="1277" t="s">
        <v>2590</v>
      </c>
      <c r="F170" s="1277" t="s">
        <v>2589</v>
      </c>
      <c r="G170" s="772" t="s">
        <v>1727</v>
      </c>
      <c r="H170" t="str">
        <f>IF('Project information'!$C$7="Provisional Certification stage",E170,IF('Project information'!$C$7="Full Certification stage",F170,IF('Project information'!$C$7="Select","Select the Submission Stage in Project Information",B170)))</f>
        <v>Select the Submission Stage in Project Information</v>
      </c>
    </row>
    <row r="171" spans="1:8" ht="18" customHeight="1" x14ac:dyDescent="0.25">
      <c r="A171" s="1326"/>
      <c r="B171" s="1327" t="s">
        <v>755</v>
      </c>
      <c r="C171" s="1327"/>
      <c r="D171" s="1327"/>
      <c r="E171" s="1277" t="s">
        <v>59</v>
      </c>
      <c r="F171" s="1277" t="s">
        <v>59</v>
      </c>
      <c r="G171" s="772" t="s">
        <v>1727</v>
      </c>
      <c r="H171" t="str">
        <f>IF('Project information'!$C$7="Provisional Certification stage",E171,IF('Project information'!$C$7="Full Certification stage",F171,IF('Project information'!$C$7="Select","Select the Submission Stage in Project Information",B171)))</f>
        <v>Select the Submission Stage in Project Information</v>
      </c>
    </row>
    <row r="172" spans="1:8" ht="25.5" x14ac:dyDescent="0.25">
      <c r="A172" s="1325" t="s">
        <v>1268</v>
      </c>
      <c r="B172" s="1327" t="s">
        <v>755</v>
      </c>
      <c r="C172" s="1327"/>
      <c r="D172" s="1327"/>
      <c r="E172" s="1277" t="s">
        <v>1355</v>
      </c>
      <c r="F172" s="1277" t="s">
        <v>2717</v>
      </c>
      <c r="G172" s="772" t="s">
        <v>1727</v>
      </c>
      <c r="H172" t="str">
        <f>IF('Project information'!$C$7="Provisional Certification stage",E172,IF('Project information'!$C$7="Full Certification stage",F172,IF('Project information'!$C$7="Select","Select the Submission Stage in Project Information",B172)))</f>
        <v>Select the Submission Stage in Project Information</v>
      </c>
    </row>
    <row r="173" spans="1:8" ht="15" customHeight="1" x14ac:dyDescent="0.25">
      <c r="A173" s="1326"/>
      <c r="B173" s="1327" t="s">
        <v>755</v>
      </c>
      <c r="C173" s="1327"/>
      <c r="D173" s="1327"/>
      <c r="E173" s="1277" t="s">
        <v>59</v>
      </c>
      <c r="F173" s="1277" t="s">
        <v>59</v>
      </c>
      <c r="G173" s="772" t="s">
        <v>1727</v>
      </c>
      <c r="H173" t="str">
        <f>IF('Project information'!$C$7="Provisional Certification stage",E173,IF('Project information'!$C$7="Full Certification stage",F173,IF('Project information'!$C$7="Select","Select the Submission Stage in Project Information",B173)))</f>
        <v>Select the Submission Stage in Project Information</v>
      </c>
    </row>
    <row r="174" spans="1:8" ht="25.5" customHeight="1" x14ac:dyDescent="0.25">
      <c r="A174" s="1325" t="s">
        <v>1267</v>
      </c>
      <c r="B174" s="1327" t="s">
        <v>755</v>
      </c>
      <c r="C174" s="1327"/>
      <c r="D174" s="1327"/>
      <c r="E174" s="1277" t="s">
        <v>2591</v>
      </c>
      <c r="F174" s="1277" t="s">
        <v>2592</v>
      </c>
      <c r="G174" s="772" t="s">
        <v>1727</v>
      </c>
      <c r="H174" t="str">
        <f>IF('Project information'!$C$7="Provisional Certification stage",E174,IF('Project information'!$C$7="Full Certification stage",F174,IF('Project information'!$C$7="Select","Select the Submission Stage in Project Information",B174)))</f>
        <v>Select the Submission Stage in Project Information</v>
      </c>
    </row>
    <row r="175" spans="1:8" ht="18" customHeight="1" x14ac:dyDescent="0.25">
      <c r="A175" s="1326"/>
      <c r="B175" s="1327" t="s">
        <v>755</v>
      </c>
      <c r="C175" s="1327"/>
      <c r="D175" s="1327"/>
      <c r="E175" s="1277" t="s">
        <v>59</v>
      </c>
      <c r="F175" s="1277" t="s">
        <v>59</v>
      </c>
      <c r="G175" s="772" t="s">
        <v>1727</v>
      </c>
      <c r="H175" t="str">
        <f>IF('Project information'!$C$7="Provisional Certification stage",E175,IF('Project information'!$C$7="Full Certification stage",F175,IF('Project information'!$C$7="Select","Select the Submission Stage in Project Information",B175)))</f>
        <v>Select the Submission Stage in Project Information</v>
      </c>
    </row>
    <row r="176" spans="1:8" ht="35.25" customHeight="1" x14ac:dyDescent="0.25">
      <c r="A176" s="1325" t="s">
        <v>1266</v>
      </c>
      <c r="B176" s="1327" t="s">
        <v>755</v>
      </c>
      <c r="C176" s="1327"/>
      <c r="D176" s="1327"/>
      <c r="E176" s="1277" t="s">
        <v>2501</v>
      </c>
      <c r="F176" s="1277" t="s">
        <v>2500</v>
      </c>
      <c r="G176" s="772" t="s">
        <v>1727</v>
      </c>
      <c r="H176" t="str">
        <f>IF('Project information'!$C$7="Provisional Certification stage",E176,IF('Project information'!$C$7="Full Certification stage",F176,IF('Project information'!$C$7="Select","Select the Submission Stage in Project Information",B176)))</f>
        <v>Select the Submission Stage in Project Information</v>
      </c>
    </row>
    <row r="177" spans="1:8" ht="31.5" customHeight="1" x14ac:dyDescent="0.25">
      <c r="A177" s="1326"/>
      <c r="B177" s="1327" t="s">
        <v>755</v>
      </c>
      <c r="C177" s="1327"/>
      <c r="D177" s="1327"/>
      <c r="E177" s="1277" t="s">
        <v>59</v>
      </c>
      <c r="F177" s="1277" t="s">
        <v>59</v>
      </c>
      <c r="G177" s="772" t="s">
        <v>1727</v>
      </c>
      <c r="H177" t="str">
        <f>IF('Project information'!$C$7="Provisional Certification stage",E177,IF('Project information'!$C$7="Full Certification stage",F177,IF('Project information'!$C$7="Select","Select the Submission Stage in Project Information",B177)))</f>
        <v>Select the Submission Stage in Project Information</v>
      </c>
    </row>
    <row r="178" spans="1:8" ht="56.25" customHeight="1" x14ac:dyDescent="0.25">
      <c r="A178" s="1325" t="s">
        <v>1269</v>
      </c>
      <c r="B178" s="1327" t="s">
        <v>755</v>
      </c>
      <c r="C178" s="1327"/>
      <c r="D178" s="1327"/>
      <c r="E178" s="1277" t="s">
        <v>2593</v>
      </c>
      <c r="F178" s="1277" t="s">
        <v>2783</v>
      </c>
      <c r="G178" s="772" t="s">
        <v>1727</v>
      </c>
      <c r="H178" t="str">
        <f>IF('Project information'!$C$7="Provisional Certification stage",E178,IF('Project information'!$C$7="Full Certification stage",F178,IF('Project information'!$C$7="Select","Select the Submission Stage in Project Information",B178)))</f>
        <v>Select the Submission Stage in Project Information</v>
      </c>
    </row>
    <row r="179" spans="1:8" ht="29.25" customHeight="1" x14ac:dyDescent="0.25">
      <c r="A179" s="1326"/>
      <c r="B179" s="1327" t="s">
        <v>755</v>
      </c>
      <c r="C179" s="1327"/>
      <c r="D179" s="1327"/>
      <c r="E179" s="1277" t="s">
        <v>59</v>
      </c>
      <c r="F179" s="1277" t="s">
        <v>59</v>
      </c>
      <c r="G179" s="772" t="s">
        <v>1727</v>
      </c>
      <c r="H179" t="str">
        <f>IF('Project information'!$C$7="Provisional Certification stage",E179,IF('Project information'!$C$7="Full Certification stage",F179,IF('Project information'!$C$7="Select","Select the Submission Stage in Project Information",B179)))</f>
        <v>Select the Submission Stage in Project Information</v>
      </c>
    </row>
    <row r="180" spans="1:8" ht="39.75" customHeight="1" x14ac:dyDescent="0.25">
      <c r="A180" s="1359" t="s">
        <v>1269</v>
      </c>
      <c r="B180" s="1327" t="s">
        <v>755</v>
      </c>
      <c r="C180" s="1327"/>
      <c r="D180" s="1327"/>
      <c r="E180" s="1277" t="s">
        <v>2602</v>
      </c>
      <c r="F180" s="1277" t="s">
        <v>2594</v>
      </c>
      <c r="G180" s="772" t="s">
        <v>1727</v>
      </c>
      <c r="H180" t="str">
        <f>IF('Project information'!$C$7="Provisional Certification stage",E180,IF('Project information'!$C$7="Full Certification stage",F180,IF('Project information'!$C$7="Select","Select the Submission Stage in Project Information",B180)))</f>
        <v>Select the Submission Stage in Project Information</v>
      </c>
    </row>
    <row r="181" spans="1:8" ht="28.5" customHeight="1" x14ac:dyDescent="0.25">
      <c r="A181" s="1360"/>
      <c r="B181" s="1332" t="s">
        <v>755</v>
      </c>
      <c r="C181" s="1333"/>
      <c r="D181" s="1334"/>
      <c r="E181" s="1277" t="s">
        <v>59</v>
      </c>
      <c r="F181" s="1277" t="s">
        <v>2409</v>
      </c>
      <c r="G181" s="772" t="s">
        <v>1727</v>
      </c>
      <c r="H181" t="str">
        <f>IF('Project information'!$C$7="Provisional Certification stage",E181,IF('Project information'!$C$7="Full Certification stage",F181,IF('Project information'!$C$7="Select","Select the Submission Stage in Project Information",B181)))</f>
        <v>Select the Submission Stage in Project Information</v>
      </c>
    </row>
    <row r="182" spans="1:8" ht="25.5" customHeight="1" x14ac:dyDescent="0.25">
      <c r="A182" s="1361"/>
      <c r="B182" s="1332" t="s">
        <v>755</v>
      </c>
      <c r="C182" s="1333"/>
      <c r="D182" s="1334"/>
      <c r="E182" s="1277" t="s">
        <v>59</v>
      </c>
      <c r="F182" s="1277" t="s">
        <v>2410</v>
      </c>
      <c r="G182" s="772" t="s">
        <v>1727</v>
      </c>
      <c r="H182" t="str">
        <f>IF('Project information'!$C$7="Provisional Certification stage",E182,IF('Project information'!$C$7="Full Certification stage",F182,IF('Project information'!$C$7="Select","Select the Submission Stage in Project Information",B182)))</f>
        <v>Select the Submission Stage in Project Information</v>
      </c>
    </row>
    <row r="183" spans="1:8" ht="27.75" customHeight="1" x14ac:dyDescent="0.25">
      <c r="A183" s="1325" t="s">
        <v>1270</v>
      </c>
      <c r="B183" s="1327" t="s">
        <v>755</v>
      </c>
      <c r="C183" s="1327"/>
      <c r="D183" s="1327"/>
      <c r="E183" s="1277" t="s">
        <v>755</v>
      </c>
      <c r="F183" s="1277" t="s">
        <v>2603</v>
      </c>
      <c r="G183" s="772" t="s">
        <v>1727</v>
      </c>
      <c r="H183" t="str">
        <f>IF('Project information'!$C$7="Provisional Certification stage",E183,IF('Project information'!$C$7="Full Certification stage",F183,IF('Project information'!$C$7="Select","Select the Submission Stage in Project Information",B183)))</f>
        <v>Select the Submission Stage in Project Information</v>
      </c>
    </row>
    <row r="184" spans="1:8" ht="28.5" customHeight="1" x14ac:dyDescent="0.25">
      <c r="A184" s="1326"/>
      <c r="B184" s="1327" t="s">
        <v>755</v>
      </c>
      <c r="C184" s="1327"/>
      <c r="D184" s="1327"/>
      <c r="E184" s="1277" t="s">
        <v>59</v>
      </c>
      <c r="F184" s="1277" t="s">
        <v>2608</v>
      </c>
      <c r="G184" s="772" t="s">
        <v>1727</v>
      </c>
      <c r="H184" t="str">
        <f>IF('Project information'!$C$7="Provisional Certification stage",E184,IF('Project information'!$C$7="Full Certification stage",F184,IF('Project information'!$C$7="Select","Select the Submission Stage in Project Information",B184)))</f>
        <v>Select the Submission Stage in Project Information</v>
      </c>
    </row>
    <row r="185" spans="1:8" ht="54" customHeight="1" x14ac:dyDescent="0.25">
      <c r="A185" s="1257" t="s">
        <v>1365</v>
      </c>
      <c r="B185" s="1327" t="s">
        <v>755</v>
      </c>
      <c r="C185" s="1327"/>
      <c r="D185" s="1327"/>
      <c r="E185" s="1277" t="s">
        <v>755</v>
      </c>
      <c r="F185" s="1277" t="s">
        <v>2605</v>
      </c>
      <c r="G185" s="772" t="s">
        <v>1727</v>
      </c>
      <c r="H185" t="str">
        <f>IF('Project information'!$C$7="Provisional Certification stage",E185,IF('Project information'!$C$7="Full Certification stage",F185,IF('Project information'!$C$7="Select","Select the Submission Stage in Project Information",B185)))</f>
        <v>Select the Submission Stage in Project Information</v>
      </c>
    </row>
    <row r="186" spans="1:8" ht="25.5" customHeight="1" x14ac:dyDescent="0.25">
      <c r="A186" s="1325" t="s">
        <v>1366</v>
      </c>
      <c r="B186" s="1327" t="s">
        <v>755</v>
      </c>
      <c r="C186" s="1327"/>
      <c r="D186" s="1327"/>
      <c r="E186" s="1277" t="s">
        <v>755</v>
      </c>
      <c r="F186" s="1277" t="s">
        <v>2604</v>
      </c>
      <c r="G186" s="772" t="s">
        <v>1727</v>
      </c>
      <c r="H186" t="str">
        <f>IF('Project information'!$C$7="Provisional Certification stage",E186,IF('Project information'!$C$7="Full Certification stage",F186,IF('Project information'!$C$7="Select","Select the Submission Stage in Project Information",B186)))</f>
        <v>Select the Submission Stage in Project Information</v>
      </c>
    </row>
    <row r="187" spans="1:8" ht="42" customHeight="1" x14ac:dyDescent="0.25">
      <c r="A187" s="1326"/>
      <c r="B187" s="1327" t="s">
        <v>755</v>
      </c>
      <c r="C187" s="1327"/>
      <c r="D187" s="1327"/>
      <c r="E187" s="1277" t="s">
        <v>59</v>
      </c>
      <c r="F187" s="1277" t="s">
        <v>2607</v>
      </c>
      <c r="G187" s="772" t="s">
        <v>1727</v>
      </c>
      <c r="H187" t="str">
        <f>IF('Project information'!$C$7="Provisional Certification stage",E187,IF('Project information'!$C$7="Full Certification stage",F187,IF('Project information'!$C$7="Select","Select the Submission Stage in Project Information",B187)))</f>
        <v>Select the Submission Stage in Project Information</v>
      </c>
    </row>
    <row r="188" spans="1:8" ht="35.25" customHeight="1" x14ac:dyDescent="0.25">
      <c r="A188" s="1325" t="s">
        <v>1388</v>
      </c>
      <c r="B188" s="1327" t="s">
        <v>755</v>
      </c>
      <c r="C188" s="1327"/>
      <c r="D188" s="1327"/>
      <c r="E188" s="1277" t="s">
        <v>755</v>
      </c>
      <c r="F188" s="1277" t="s">
        <v>1391</v>
      </c>
      <c r="G188" s="772" t="s">
        <v>1727</v>
      </c>
      <c r="H188" t="str">
        <f>IF('Project information'!$C$7="Provisional Certification stage",E188,IF('Project information'!$C$7="Full Certification stage",F188,IF('Project information'!$C$7="Select","Select the Submission Stage in Project Information",B188)))</f>
        <v>Select the Submission Stage in Project Information</v>
      </c>
    </row>
    <row r="189" spans="1:8" ht="21" customHeight="1" x14ac:dyDescent="0.25">
      <c r="A189" s="1326"/>
      <c r="B189" s="1327" t="s">
        <v>755</v>
      </c>
      <c r="C189" s="1327"/>
      <c r="D189" s="1327"/>
      <c r="E189" s="1277" t="s">
        <v>59</v>
      </c>
      <c r="F189" s="1277" t="s">
        <v>59</v>
      </c>
      <c r="G189" s="772" t="s">
        <v>1727</v>
      </c>
      <c r="H189" t="str">
        <f>IF('Project information'!$C$7="Provisional Certification stage",E189,IF('Project information'!$C$7="Full Certification stage",F189,IF('Project information'!$C$7="Select","Select the Submission Stage in Project Information",B189)))</f>
        <v>Select the Submission Stage in Project Information</v>
      </c>
    </row>
    <row r="190" spans="1:8" ht="26.25" customHeight="1" x14ac:dyDescent="0.25">
      <c r="A190" s="1325" t="s">
        <v>1389</v>
      </c>
      <c r="B190" s="1327" t="s">
        <v>755</v>
      </c>
      <c r="C190" s="1327"/>
      <c r="D190" s="1327"/>
      <c r="E190" s="1277" t="s">
        <v>755</v>
      </c>
      <c r="F190" s="1277" t="s">
        <v>2414</v>
      </c>
      <c r="G190" s="772" t="s">
        <v>1727</v>
      </c>
      <c r="H190" t="str">
        <f>IF('Project information'!$C$7="Provisional Certification stage",E190,IF('Project information'!$C$7="Full Certification stage",F190,IF('Project information'!$C$7="Select","Select the Submission Stage in Project Information",B190)))</f>
        <v>Select the Submission Stage in Project Information</v>
      </c>
    </row>
    <row r="191" spans="1:8" ht="27" customHeight="1" x14ac:dyDescent="0.25">
      <c r="A191" s="1326"/>
      <c r="B191" s="1327" t="s">
        <v>755</v>
      </c>
      <c r="C191" s="1327"/>
      <c r="D191" s="1327"/>
      <c r="E191" s="1277" t="s">
        <v>59</v>
      </c>
      <c r="F191" s="1277" t="s">
        <v>2415</v>
      </c>
      <c r="G191" s="772" t="s">
        <v>1727</v>
      </c>
      <c r="H191" t="str">
        <f>IF('Project information'!$C$7="Provisional Certification stage",E191,IF('Project information'!$C$7="Full Certification stage",F191,IF('Project information'!$C$7="Select","Select the Submission Stage in Project Information",B191)))</f>
        <v>Select the Submission Stage in Project Information</v>
      </c>
    </row>
    <row r="192" spans="1:8" ht="24.75" customHeight="1" x14ac:dyDescent="0.25">
      <c r="A192" s="1325" t="s">
        <v>1390</v>
      </c>
      <c r="B192" s="1327" t="s">
        <v>755</v>
      </c>
      <c r="C192" s="1327"/>
      <c r="D192" s="1327"/>
      <c r="E192" s="1277" t="s">
        <v>755</v>
      </c>
      <c r="F192" s="1277" t="s">
        <v>2416</v>
      </c>
      <c r="G192" s="772" t="s">
        <v>1727</v>
      </c>
      <c r="H192" t="str">
        <f>IF('Project information'!$C$7="Provisional Certification stage",E192,IF('Project information'!$C$7="Full Certification stage",F192,IF('Project information'!$C$7="Select","Select the Submission Stage in Project Information",B192)))</f>
        <v>Select the Submission Stage in Project Information</v>
      </c>
    </row>
    <row r="193" spans="1:8" ht="28.5" customHeight="1" x14ac:dyDescent="0.25">
      <c r="A193" s="1326"/>
      <c r="B193" s="1327" t="s">
        <v>755</v>
      </c>
      <c r="C193" s="1327"/>
      <c r="D193" s="1327"/>
      <c r="E193" s="1277" t="s">
        <v>59</v>
      </c>
      <c r="F193" s="1277" t="s">
        <v>2606</v>
      </c>
      <c r="G193" s="772" t="s">
        <v>1727</v>
      </c>
      <c r="H193" t="str">
        <f>IF('Project information'!$C$7="Provisional Certification stage",E193,IF('Project information'!$C$7="Full Certification stage",F193,IF('Project information'!$C$7="Select","Select the Submission Stage in Project Information",B193)))</f>
        <v>Select the Submission Stage in Project Information</v>
      </c>
    </row>
    <row r="194" spans="1:8" ht="25.5" x14ac:dyDescent="0.25">
      <c r="A194" s="1330" t="s">
        <v>44</v>
      </c>
      <c r="B194" s="1327" t="s">
        <v>755</v>
      </c>
      <c r="C194" s="1327"/>
      <c r="D194" s="1327"/>
      <c r="E194" s="1277" t="s">
        <v>2610</v>
      </c>
      <c r="F194" s="1277" t="s">
        <v>2609</v>
      </c>
      <c r="G194" s="772" t="s">
        <v>1727</v>
      </c>
      <c r="H194" t="str">
        <f>IF('Project information'!$C$7="Provisional Certification stage",E194,IF('Project information'!$C$7="Full Certification stage",F194,IF('Project information'!$C$7="Select","Select the Submission Stage in Project Information",B194)))</f>
        <v>Select the Submission Stage in Project Information</v>
      </c>
    </row>
    <row r="195" spans="1:8" ht="38.25" x14ac:dyDescent="0.25">
      <c r="A195" s="1331"/>
      <c r="B195" s="1327" t="s">
        <v>755</v>
      </c>
      <c r="C195" s="1327"/>
      <c r="D195" s="1327"/>
      <c r="E195" s="1277" t="s">
        <v>59</v>
      </c>
      <c r="F195" s="1277" t="s">
        <v>2611</v>
      </c>
      <c r="G195" s="772" t="s">
        <v>1727</v>
      </c>
      <c r="H195" t="str">
        <f>IF('Project information'!$C$7="Provisional Certification stage",E195,IF('Project information'!$C$7="Full Certification stage",F195,IF('Project information'!$C$7="Select","Select the Submission Stage in Project Information",B195)))</f>
        <v>Select the Submission Stage in Project Information</v>
      </c>
    </row>
    <row r="197" spans="1:8" x14ac:dyDescent="0.25">
      <c r="D197" t="s">
        <v>62</v>
      </c>
    </row>
    <row r="198" spans="1:8" x14ac:dyDescent="0.25">
      <c r="D198" t="s">
        <v>2038</v>
      </c>
    </row>
    <row r="199" spans="1:8" x14ac:dyDescent="0.25">
      <c r="D199" t="s">
        <v>2364</v>
      </c>
    </row>
    <row r="200" spans="1:8" x14ac:dyDescent="0.25">
      <c r="D200" t="str">
        <f>IF('Project information'!C7="Full Certification Stage","Already approved at PC","")</f>
        <v/>
      </c>
    </row>
  </sheetData>
  <mergeCells count="275">
    <mergeCell ref="B141:D141"/>
    <mergeCell ref="B144:D144"/>
    <mergeCell ref="B145:D145"/>
    <mergeCell ref="B148:D148"/>
    <mergeCell ref="B149:D149"/>
    <mergeCell ref="B114:D114"/>
    <mergeCell ref="B116:D116"/>
    <mergeCell ref="A136:A137"/>
    <mergeCell ref="B137:D137"/>
    <mergeCell ref="A138:A139"/>
    <mergeCell ref="A144:A145"/>
    <mergeCell ref="A146:A147"/>
    <mergeCell ref="B146:D146"/>
    <mergeCell ref="B147:D147"/>
    <mergeCell ref="A132:A133"/>
    <mergeCell ref="A114:A116"/>
    <mergeCell ref="B143:D143"/>
    <mergeCell ref="A148:A149"/>
    <mergeCell ref="B124:D124"/>
    <mergeCell ref="B126:D126"/>
    <mergeCell ref="B115:D115"/>
    <mergeCell ref="B119:D119"/>
    <mergeCell ref="A123:A126"/>
    <mergeCell ref="A127:A129"/>
    <mergeCell ref="A16:A17"/>
    <mergeCell ref="A18:A19"/>
    <mergeCell ref="B16:D16"/>
    <mergeCell ref="B17:D17"/>
    <mergeCell ref="B18:D18"/>
    <mergeCell ref="B19:D19"/>
    <mergeCell ref="A45:A47"/>
    <mergeCell ref="B45:D45"/>
    <mergeCell ref="B47:D47"/>
    <mergeCell ref="B42:D42"/>
    <mergeCell ref="B31:D31"/>
    <mergeCell ref="B33:D33"/>
    <mergeCell ref="A43:A44"/>
    <mergeCell ref="B43:D43"/>
    <mergeCell ref="B44:D44"/>
    <mergeCell ref="A111:A113"/>
    <mergeCell ref="A130:A131"/>
    <mergeCell ref="A134:A135"/>
    <mergeCell ref="B134:D134"/>
    <mergeCell ref="A180:A182"/>
    <mergeCell ref="B180:D180"/>
    <mergeCell ref="B182:D182"/>
    <mergeCell ref="A178:A179"/>
    <mergeCell ref="B165:D165"/>
    <mergeCell ref="B166:D166"/>
    <mergeCell ref="A174:A175"/>
    <mergeCell ref="A176:A177"/>
    <mergeCell ref="A162:A163"/>
    <mergeCell ref="B162:D162"/>
    <mergeCell ref="B163:D163"/>
    <mergeCell ref="B181:D181"/>
    <mergeCell ref="B138:D138"/>
    <mergeCell ref="B139:D139"/>
    <mergeCell ref="A168:A169"/>
    <mergeCell ref="A170:A171"/>
    <mergeCell ref="A172:A173"/>
    <mergeCell ref="B135:D135"/>
    <mergeCell ref="A142:A143"/>
    <mergeCell ref="B142:D142"/>
    <mergeCell ref="A160:A161"/>
    <mergeCell ref="B183:D183"/>
    <mergeCell ref="B184:D184"/>
    <mergeCell ref="B151:D151"/>
    <mergeCell ref="B168:D168"/>
    <mergeCell ref="B150:D150"/>
    <mergeCell ref="B164:D164"/>
    <mergeCell ref="B167:D167"/>
    <mergeCell ref="B152:D152"/>
    <mergeCell ref="B153:D153"/>
    <mergeCell ref="B156:D156"/>
    <mergeCell ref="B157:D157"/>
    <mergeCell ref="B158:D158"/>
    <mergeCell ref="B159:D159"/>
    <mergeCell ref="B154:D154"/>
    <mergeCell ref="B155:D155"/>
    <mergeCell ref="B160:D160"/>
    <mergeCell ref="B161:D161"/>
    <mergeCell ref="A164:A167"/>
    <mergeCell ref="A152:A153"/>
    <mergeCell ref="A156:A157"/>
    <mergeCell ref="A158:A159"/>
    <mergeCell ref="A154:A155"/>
    <mergeCell ref="A7:A8"/>
    <mergeCell ref="A9:A11"/>
    <mergeCell ref="A12:A13"/>
    <mergeCell ref="A40:A42"/>
    <mergeCell ref="A48:A49"/>
    <mergeCell ref="A82:A86"/>
    <mergeCell ref="B59:D59"/>
    <mergeCell ref="B83:D83"/>
    <mergeCell ref="A77:A81"/>
    <mergeCell ref="B81:D81"/>
    <mergeCell ref="A75:A76"/>
    <mergeCell ref="B75:D75"/>
    <mergeCell ref="B76:D76"/>
    <mergeCell ref="B68:D68"/>
    <mergeCell ref="B69:D69"/>
    <mergeCell ref="A58:A60"/>
    <mergeCell ref="A67:A68"/>
    <mergeCell ref="A69:A70"/>
    <mergeCell ref="B53:D53"/>
    <mergeCell ref="B56:D56"/>
    <mergeCell ref="A52:A54"/>
    <mergeCell ref="B55:D55"/>
    <mergeCell ref="B57:D57"/>
    <mergeCell ref="B61:D61"/>
    <mergeCell ref="A55:A57"/>
    <mergeCell ref="B41:D41"/>
    <mergeCell ref="B37:D37"/>
    <mergeCell ref="B185:D185"/>
    <mergeCell ref="A101:A102"/>
    <mergeCell ref="B188:D188"/>
    <mergeCell ref="B189:D189"/>
    <mergeCell ref="B169:D169"/>
    <mergeCell ref="B170:D170"/>
    <mergeCell ref="B171:D171"/>
    <mergeCell ref="B178:D178"/>
    <mergeCell ref="B179:D179"/>
    <mergeCell ref="B172:D172"/>
    <mergeCell ref="B173:D173"/>
    <mergeCell ref="B174:D174"/>
    <mergeCell ref="B175:D175"/>
    <mergeCell ref="B176:D176"/>
    <mergeCell ref="B177:D177"/>
    <mergeCell ref="B186:D186"/>
    <mergeCell ref="A103:A104"/>
    <mergeCell ref="A105:A107"/>
    <mergeCell ref="A108:A110"/>
    <mergeCell ref="B140:D140"/>
    <mergeCell ref="B103:D103"/>
    <mergeCell ref="B100:D100"/>
    <mergeCell ref="B101:D101"/>
    <mergeCell ref="B131:D131"/>
    <mergeCell ref="B110:D110"/>
    <mergeCell ref="B111:D111"/>
    <mergeCell ref="B132:D132"/>
    <mergeCell ref="B133:D133"/>
    <mergeCell ref="B104:D104"/>
    <mergeCell ref="B136:D136"/>
    <mergeCell ref="B130:D130"/>
    <mergeCell ref="B102:D102"/>
    <mergeCell ref="B109:D109"/>
    <mergeCell ref="B118:D118"/>
    <mergeCell ref="B113:D113"/>
    <mergeCell ref="B112:D112"/>
    <mergeCell ref="B106:D106"/>
    <mergeCell ref="B125:D125"/>
    <mergeCell ref="B127:D127"/>
    <mergeCell ref="B128:D128"/>
    <mergeCell ref="B93:D93"/>
    <mergeCell ref="B94:D94"/>
    <mergeCell ref="B71:D71"/>
    <mergeCell ref="B73:D73"/>
    <mergeCell ref="B85:D85"/>
    <mergeCell ref="A97:A98"/>
    <mergeCell ref="B97:D97"/>
    <mergeCell ref="B98:D98"/>
    <mergeCell ref="A87:A88"/>
    <mergeCell ref="A89:A90"/>
    <mergeCell ref="A93:A94"/>
    <mergeCell ref="A95:A96"/>
    <mergeCell ref="B72:D72"/>
    <mergeCell ref="B84:D84"/>
    <mergeCell ref="B79:D79"/>
    <mergeCell ref="B99:D99"/>
    <mergeCell ref="A71:A72"/>
    <mergeCell ref="A140:A141"/>
    <mergeCell ref="A61:A63"/>
    <mergeCell ref="A64:A66"/>
    <mergeCell ref="B74:D74"/>
    <mergeCell ref="B66:D66"/>
    <mergeCell ref="B96:D96"/>
    <mergeCell ref="B77:D77"/>
    <mergeCell ref="B78:D78"/>
    <mergeCell ref="B82:D82"/>
    <mergeCell ref="B86:D86"/>
    <mergeCell ref="B87:D87"/>
    <mergeCell ref="B88:D88"/>
    <mergeCell ref="B89:D89"/>
    <mergeCell ref="B90:D90"/>
    <mergeCell ref="B95:D95"/>
    <mergeCell ref="B80:D80"/>
    <mergeCell ref="B70:D70"/>
    <mergeCell ref="B62:D62"/>
    <mergeCell ref="B65:D65"/>
    <mergeCell ref="A91:A92"/>
    <mergeCell ref="B91:D91"/>
    <mergeCell ref="B92:D92"/>
    <mergeCell ref="B8:D8"/>
    <mergeCell ref="B9:D9"/>
    <mergeCell ref="B11:D11"/>
    <mergeCell ref="B54:D54"/>
    <mergeCell ref="B52:D52"/>
    <mergeCell ref="B51:D51"/>
    <mergeCell ref="B50:D50"/>
    <mergeCell ref="B49:D49"/>
    <mergeCell ref="B46:D46"/>
    <mergeCell ref="B21:D21"/>
    <mergeCell ref="B32:D32"/>
    <mergeCell ref="B1:D1"/>
    <mergeCell ref="A2:A3"/>
    <mergeCell ref="A20:A22"/>
    <mergeCell ref="A29:A30"/>
    <mergeCell ref="A34:A35"/>
    <mergeCell ref="A36:A37"/>
    <mergeCell ref="A31:A33"/>
    <mergeCell ref="B2:D2"/>
    <mergeCell ref="B3:D3"/>
    <mergeCell ref="B20:D20"/>
    <mergeCell ref="B22:D22"/>
    <mergeCell ref="B29:D29"/>
    <mergeCell ref="B30:D30"/>
    <mergeCell ref="B34:D34"/>
    <mergeCell ref="B35:D35"/>
    <mergeCell ref="A14:A15"/>
    <mergeCell ref="B14:D14"/>
    <mergeCell ref="B15:D15"/>
    <mergeCell ref="A23:A24"/>
    <mergeCell ref="B23:D23"/>
    <mergeCell ref="B24:D24"/>
    <mergeCell ref="B36:D36"/>
    <mergeCell ref="B4:D4"/>
    <mergeCell ref="B6:D6"/>
    <mergeCell ref="A4:A6"/>
    <mergeCell ref="A117:A120"/>
    <mergeCell ref="B117:D117"/>
    <mergeCell ref="B120:D120"/>
    <mergeCell ref="A121:A122"/>
    <mergeCell ref="B121:D121"/>
    <mergeCell ref="B122:D122"/>
    <mergeCell ref="B123:D123"/>
    <mergeCell ref="B129:D129"/>
    <mergeCell ref="B25:D25"/>
    <mergeCell ref="B26:D26"/>
    <mergeCell ref="B27:D27"/>
    <mergeCell ref="B28:D28"/>
    <mergeCell ref="A25:A26"/>
    <mergeCell ref="A27:A28"/>
    <mergeCell ref="A50:A51"/>
    <mergeCell ref="B40:D40"/>
    <mergeCell ref="B63:D63"/>
    <mergeCell ref="B64:D64"/>
    <mergeCell ref="B5:D5"/>
    <mergeCell ref="B12:D12"/>
    <mergeCell ref="B13:D13"/>
    <mergeCell ref="B10:D10"/>
    <mergeCell ref="B7:D7"/>
    <mergeCell ref="A186:A187"/>
    <mergeCell ref="B187:D187"/>
    <mergeCell ref="A38:A39"/>
    <mergeCell ref="B38:D38"/>
    <mergeCell ref="B39:D39"/>
    <mergeCell ref="A194:A195"/>
    <mergeCell ref="B194:D194"/>
    <mergeCell ref="B195:D195"/>
    <mergeCell ref="A190:A191"/>
    <mergeCell ref="B190:D190"/>
    <mergeCell ref="B191:D191"/>
    <mergeCell ref="A192:A193"/>
    <mergeCell ref="B192:D192"/>
    <mergeCell ref="B193:D193"/>
    <mergeCell ref="B48:D48"/>
    <mergeCell ref="B105:D105"/>
    <mergeCell ref="B107:D107"/>
    <mergeCell ref="B108:D108"/>
    <mergeCell ref="A188:A189"/>
    <mergeCell ref="A183:A184"/>
    <mergeCell ref="A73:A74"/>
    <mergeCell ref="B58:D58"/>
    <mergeCell ref="B60:D60"/>
    <mergeCell ref="B67:D67"/>
  </mergeCells>
  <hyperlinks>
    <hyperlink ref="A67:A68" location="'WP-PR-1 &amp; WP-2 Fit-out Waste'!A1" display="WP-PR-1"/>
    <hyperlink ref="A58:A60" location="'WP-1 Refrigerants'!A1" display="WP-1"/>
    <hyperlink ref="A50:A51" location="'W-2 Drinking Water '!A1" display="W-2 Drinking Water"/>
    <hyperlink ref="A52:A54" location="'M-1 Sustainable Materials'!A1" display="M-1"/>
    <hyperlink ref="A55:A57" location="'M-2 Sustainable Furniture'!A1" display="M-2"/>
    <hyperlink ref="A34:A35" location="'E-4 Energy Monitoring'!A1" display="E-4"/>
    <hyperlink ref="A29:A30" location="'E-3 Energy Efficient Appliances'!A1" display="E-3"/>
    <hyperlink ref="A36:A37" location="'E-4 Energy Monitoring'!A1" display="E-4"/>
    <hyperlink ref="A31" location="'E-3 Energy Efficient Appliances'!A1" display="E-3"/>
    <hyperlink ref="A77:A78" location="'H-PR-1 Indoor Smoking'!A1" display="H-PR-1"/>
    <hyperlink ref="A87:A88" location="'H-2 CO2 Monitoring'!A1" display="H-2"/>
    <hyperlink ref="A89:A90" location="'H-3 Low-VOC Emissions '!A1" display="H-3 Strategy A, B and C"/>
    <hyperlink ref="A101:A102" location="'H-5 Interior Plants'!A1" display="H-5"/>
    <hyperlink ref="A103:A104" location="'H-6 Green Cleaning'!A1" display="H-6"/>
    <hyperlink ref="A105" location="'H-7 Daylighting'!A1" display="H-7"/>
    <hyperlink ref="A108:A110" location="'H-8 External Views'!A1" display="H-8"/>
    <hyperlink ref="A114:A116" location="'H-9 Lighting Comfort'!A1" display="H-9"/>
    <hyperlink ref="A132:A133" location="'H-10 Thermal Comfort'!A1" display="H-10"/>
    <hyperlink ref="A93:A94" location="'H-3 Low-VOC Emissions '!A1" display="H-3 Strategy C"/>
    <hyperlink ref="A95:A96" location="'H-3 Hazardous Materials'!A1" display="H-3"/>
    <hyperlink ref="A111:A113" location="'H-8 External Views'!A1" display="H-8"/>
    <hyperlink ref="A69:A70" location="'WP-2 Construction Waste'!A1" display="WP-2 Strategy A"/>
    <hyperlink ref="A71:A72" location="'WP-2 Construction Waste'!A1" display="WP-2 Strategy A"/>
    <hyperlink ref="A73:A74" location="'WP-3 Operation Waste Management'!A1" display="WP-3 Strategy A"/>
    <hyperlink ref="A82:A86" location="'H-1 Fresh Air Supply'!A1" display="H-1"/>
    <hyperlink ref="A100" location="'H-4 Removal of pollutants'!A1" display="H-4 Option B"/>
    <hyperlink ref="A75:A76" location="'WP-3 Operation Waste Management'!A1" display="WP-3 Strategy B"/>
    <hyperlink ref="A164:A167" location="'LT-4 Facilities and amenities '!A1" display="LT-4"/>
    <hyperlink ref="A152:A153" location="'LT-3 Green Transportation '!A1" display="LT-PR-1"/>
    <hyperlink ref="A154:A155" location="'LT-3 Green Transportation '!A1" display="LT-PR-1"/>
    <hyperlink ref="A156:A157" location="'LT-3 Green Transportation '!A1" display="LT-PR-1"/>
    <hyperlink ref="A158:A159" location="'LT-3 Green Transportation '!A1" display="LT-PR-1"/>
    <hyperlink ref="A20:A22" location="'E-2 Artificial Lighting'!A1" display="E-2 Strategy A"/>
    <hyperlink ref="A23:A24" location="'E-2 Artificial Lighting'!A1" display="E-2 Strategy A"/>
    <hyperlink ref="A25:A26" location="'E-2 Artificial Lighting'!A1" display="E-2 Strategy A"/>
    <hyperlink ref="A27:A28" location="'E-2 Artificial Lighting'!A1" display="E-2 Strategy A"/>
    <hyperlink ref="A168:A169" location="'Man-1 LOTUS AP'!A1" display="Man-1"/>
    <hyperlink ref="A170:A171" location="'Man-2 Construction Stage'!A1" display="Man-2"/>
    <hyperlink ref="A178:A179" location="'Man-3 Commissioning'!A1" display="Man-3"/>
    <hyperlink ref="A185" location="'Man-4 Maintenance'!A1" display="Man-4"/>
    <hyperlink ref="A188:A189" location="'Man-5 Green Awareness '!A1" display="Man-5"/>
    <hyperlink ref="A148:A149" location="'LT-1 Base building '!A1" display="LT-1 Strategy B"/>
    <hyperlink ref="A99" location="'H-4 Removal of pollutants'!A1" display="H-4 Option B"/>
    <hyperlink ref="A61:A63" location="'WP-1 Refrigerants'!A1" display="WP-1"/>
    <hyperlink ref="A64" location="'WP-1 Refrigerants'!A1" display="WP-1"/>
    <hyperlink ref="A151" location="'LT-2 Tenancy lease'!A1" display="LT-2"/>
    <hyperlink ref="A150" location="'LT-2 Tenancy lease'!A1" display="LT-2"/>
    <hyperlink ref="A140:A141" location="'H-11 Acoustic Comfort'!A1" display="H-11"/>
    <hyperlink ref="A117:A120" location="'H-9 Lighting Comfort'!A1" display="H-9"/>
    <hyperlink ref="A121:A122" location="'H-9 Lighting Comfort'!A1" display="H-9"/>
    <hyperlink ref="A130:A131" location="'H-9 Lighting Comfort'!A1" display="H-9"/>
    <hyperlink ref="A2:A3" location="'E-1 Space cooling'!A1" display="E-1 Strategy A"/>
    <hyperlink ref="A4:A6" location="'E-1 Space cooling'!A1" display="E-1 Strategy A"/>
    <hyperlink ref="A7:A8" location="'E-1 Space cooling'!A1" display="E-1 Strategy A"/>
    <hyperlink ref="A9:A11" location="'E-1 Space cooling'!A1" display="E-1 Strategy A"/>
    <hyperlink ref="A14:A15" location="'E-1 Space cooling'!A1" display="E-1 Strategy A"/>
    <hyperlink ref="A172:A173" location="'Man-2 Construction Stage'!A1" display="Man-2"/>
    <hyperlink ref="A174:A175" location="'Man-2 Construction Stage'!A1" display="Man-2"/>
    <hyperlink ref="A176:A177" location="'Man-2 Construction Stage'!A1" display="Man-2"/>
    <hyperlink ref="A183:A184" location="'Man-3 Commissioning'!A1" display="Man-3"/>
    <hyperlink ref="A12:A13" location="'E-1 Space cooling'!A1" display="E-1 Strategy A"/>
    <hyperlink ref="A186" location="'Man-4 Maintenance'!A1" display="Man-4"/>
    <hyperlink ref="A142:A143" location="'H-11 Acoustic Comfort'!A1" display="H-11"/>
    <hyperlink ref="A160:A161" location="'LT-3 Green Transportation '!A1" display="LT-PR-1"/>
    <hyperlink ref="A162:A163" location="'LT-3 Green Transportation '!A1" display="LT-PR-1"/>
    <hyperlink ref="A190:A191" location="'Man-5 Green Awareness '!A1" display="Man-5"/>
    <hyperlink ref="A192:A193" location="'Man-5 Green Awareness '!A1" display="Man-5"/>
    <hyperlink ref="A144:A145" location="'H-12 Post-occupancy Comfort'!A1" display="H-12"/>
    <hyperlink ref="A40:A42" location="'W-PR-1 &amp; W-1 Efficient Fixtures'!A1" display="W-1 Water efficient fixtures Option A - A1"/>
    <hyperlink ref="A45:A47" location="'W-PR-1 &amp; W-1 Efficient Fixtures'!A1" display="W-1 Water efficient fixtures Strategy A2 / B2"/>
    <hyperlink ref="A16:A17" location="'E-1 Space cooling'!A1" display="E-1 Strategy A"/>
    <hyperlink ref="A18:A19" location="'E-1 Space cooling'!A1" display="E-1 Strategy A"/>
    <hyperlink ref="A136:A137" location="'H-10 Thermal Comfort'!A1" display="H-10"/>
    <hyperlink ref="A138:A139" location="'H-10 Thermal Comfort'!A1" display="H-10"/>
    <hyperlink ref="A180" location="'Man-3 Commissioning'!A1" display="Man-3"/>
    <hyperlink ref="A146:A147" location="'LT-1 Base building '!A1" display="LT-1 Strategy B"/>
    <hyperlink ref="A194:A195" location="'Inn-2 Innovative Techniques'!A1" display="Inn-2"/>
    <hyperlink ref="A97:A98" location="'H-3 Hazardous Materials'!A1" display="H-3"/>
    <hyperlink ref="A38:A39" location="'E-4 Energy Monitoring'!A1" display="E-4"/>
    <hyperlink ref="A43:A44" location="'W-PR-1 &amp; W-1 Efficient Fixtures'!A1" display="W-1 Water efficient fixtures Strategy A2 / B2"/>
    <hyperlink ref="A91:A92" location="'H-3 Low-VOC Emissions '!A1" display="H-3 Strategy A, B and C"/>
    <hyperlink ref="A134:A135" location="'H-10 Thermal Comfort'!A1" display="H-10"/>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50"/>
  <sheetViews>
    <sheetView showRowColHeaders="0" workbookViewId="0">
      <pane ySplit="3" topLeftCell="A4" activePane="bottomLeft" state="frozen"/>
      <selection pane="bottomLeft" activeCell="W1" sqref="W1"/>
    </sheetView>
  </sheetViews>
  <sheetFormatPr defaultColWidth="0" defaultRowHeight="15" customHeight="1" zeroHeight="1" x14ac:dyDescent="0.25"/>
  <cols>
    <col min="1" max="1" width="5.7109375" customWidth="1"/>
    <col min="2" max="2" width="9.7109375" customWidth="1"/>
    <col min="3" max="3" width="9.140625" customWidth="1"/>
    <col min="4" max="4" width="10" customWidth="1"/>
    <col min="5" max="10" width="9.140625" customWidth="1"/>
    <col min="11" max="11" width="11.7109375" customWidth="1"/>
    <col min="12" max="16" width="9.140625" customWidth="1"/>
    <col min="17" max="16384" width="9.140625" hidden="1"/>
  </cols>
  <sheetData>
    <row r="1" spans="1:16" ht="30" customHeight="1" x14ac:dyDescent="0.25">
      <c r="A1" s="1367" t="s">
        <v>694</v>
      </c>
      <c r="B1" s="1367"/>
      <c r="C1" s="1367"/>
      <c r="D1" s="1367"/>
      <c r="E1" s="1367"/>
      <c r="F1" s="1367"/>
      <c r="G1" s="1367"/>
      <c r="H1" s="1367"/>
      <c r="I1" s="1367"/>
      <c r="J1" s="1367"/>
      <c r="K1" s="1367"/>
      <c r="L1" s="1367"/>
      <c r="M1" s="1367"/>
      <c r="N1" s="1367"/>
      <c r="O1" s="1367"/>
      <c r="P1" s="1367"/>
    </row>
    <row r="2" spans="1:16" ht="18" customHeight="1" x14ac:dyDescent="0.25">
      <c r="A2" s="1542" t="s">
        <v>2235</v>
      </c>
      <c r="B2" s="1542"/>
      <c r="C2" s="1542"/>
      <c r="D2" s="1542"/>
      <c r="E2" s="1542"/>
      <c r="F2" s="1542"/>
      <c r="G2" s="1542"/>
      <c r="H2" s="1542"/>
      <c r="I2" s="1542"/>
      <c r="J2" s="1542"/>
      <c r="K2" s="1542"/>
      <c r="L2" s="1542"/>
      <c r="M2" s="1542"/>
      <c r="N2" s="1542"/>
      <c r="O2" s="1542"/>
      <c r="P2" s="1542"/>
    </row>
    <row r="3" spans="1:16" ht="18" customHeight="1" x14ac:dyDescent="0.25">
      <c r="A3" s="1542"/>
      <c r="B3" s="1542"/>
      <c r="C3" s="1542"/>
      <c r="D3" s="1542"/>
      <c r="E3" s="1542"/>
      <c r="F3" s="1542"/>
      <c r="G3" s="1542"/>
      <c r="H3" s="1542"/>
      <c r="I3" s="1542"/>
      <c r="J3" s="1542"/>
      <c r="K3" s="1542"/>
      <c r="L3" s="1542"/>
      <c r="M3" s="1542"/>
      <c r="N3" s="1542"/>
      <c r="O3" s="1542"/>
      <c r="P3" s="1542"/>
    </row>
    <row r="4" spans="1:16" ht="15" customHeight="1" x14ac:dyDescent="0.25">
      <c r="A4" s="288"/>
      <c r="B4" s="288"/>
      <c r="C4" s="288"/>
      <c r="D4" s="288"/>
      <c r="E4" s="288"/>
      <c r="F4" s="288"/>
      <c r="G4" s="288"/>
      <c r="H4" s="288"/>
      <c r="I4" s="288"/>
      <c r="J4" s="288"/>
      <c r="K4" s="288"/>
      <c r="L4" s="9"/>
      <c r="M4" s="9"/>
      <c r="N4" s="9"/>
      <c r="O4" s="9"/>
      <c r="P4" s="9"/>
    </row>
    <row r="5" spans="1:16" ht="18" customHeight="1" x14ac:dyDescent="0.25">
      <c r="A5" s="1368" t="s">
        <v>278</v>
      </c>
      <c r="B5" s="1368"/>
      <c r="C5" s="1368"/>
      <c r="D5" s="1368"/>
      <c r="E5" s="288"/>
      <c r="F5" s="288"/>
      <c r="G5" s="288"/>
      <c r="H5" s="288"/>
      <c r="I5" s="288"/>
      <c r="J5" s="288"/>
      <c r="K5" s="288"/>
      <c r="L5" s="9"/>
      <c r="M5" s="9"/>
      <c r="N5" s="9"/>
      <c r="O5" s="9"/>
      <c r="P5" s="9"/>
    </row>
    <row r="6" spans="1:16" x14ac:dyDescent="0.25">
      <c r="A6" s="288"/>
      <c r="B6" s="288"/>
      <c r="C6" s="288"/>
      <c r="D6" s="288"/>
      <c r="E6" s="288"/>
      <c r="F6" s="288"/>
      <c r="G6" s="288"/>
      <c r="H6" s="288"/>
      <c r="I6" s="288"/>
      <c r="J6" s="288"/>
      <c r="K6" s="288"/>
      <c r="L6" s="9"/>
      <c r="M6" s="9"/>
      <c r="N6" s="9"/>
      <c r="O6" s="9"/>
      <c r="P6" s="9"/>
    </row>
    <row r="7" spans="1:16" ht="18" customHeight="1" x14ac:dyDescent="0.25">
      <c r="A7" s="288"/>
      <c r="B7" s="287">
        <v>1</v>
      </c>
      <c r="C7" s="1534" t="s">
        <v>2230</v>
      </c>
      <c r="D7" s="1535"/>
      <c r="E7" s="1535"/>
      <c r="F7" s="1535"/>
      <c r="G7" s="1535"/>
      <c r="H7" s="1535"/>
      <c r="I7" s="1535"/>
      <c r="J7" s="1535"/>
      <c r="K7" s="1536"/>
      <c r="L7" s="1537" t="s">
        <v>281</v>
      </c>
      <c r="M7" s="1537"/>
      <c r="N7" s="9"/>
      <c r="O7" s="9"/>
      <c r="P7" s="9"/>
    </row>
    <row r="8" spans="1:16" ht="18" customHeight="1" x14ac:dyDescent="0.25">
      <c r="A8" s="288"/>
      <c r="B8" s="287">
        <v>2</v>
      </c>
      <c r="C8" s="1534" t="s">
        <v>2231</v>
      </c>
      <c r="D8" s="1535"/>
      <c r="E8" s="1535"/>
      <c r="F8" s="1535"/>
      <c r="G8" s="1535"/>
      <c r="H8" s="1535"/>
      <c r="I8" s="1535"/>
      <c r="J8" s="1535"/>
      <c r="K8" s="1536"/>
      <c r="L8" s="1537" t="s">
        <v>281</v>
      </c>
      <c r="M8" s="1537"/>
      <c r="N8" s="9"/>
      <c r="O8" s="9"/>
      <c r="P8" s="9"/>
    </row>
    <row r="9" spans="1:16" ht="27" customHeight="1" x14ac:dyDescent="0.25">
      <c r="A9" s="288"/>
      <c r="B9" s="287">
        <v>3</v>
      </c>
      <c r="C9" s="1539" t="s">
        <v>2229</v>
      </c>
      <c r="D9" s="1540"/>
      <c r="E9" s="1540"/>
      <c r="F9" s="1540"/>
      <c r="G9" s="1540"/>
      <c r="H9" s="1540"/>
      <c r="I9" s="1540"/>
      <c r="J9" s="1540"/>
      <c r="K9" s="1541"/>
      <c r="L9" s="1537" t="s">
        <v>281</v>
      </c>
      <c r="M9" s="1537"/>
      <c r="N9" s="9"/>
      <c r="O9" s="9"/>
      <c r="P9" s="9"/>
    </row>
    <row r="10" spans="1:16" ht="18" customHeight="1" x14ac:dyDescent="0.25">
      <c r="A10" s="288"/>
      <c r="B10" s="288"/>
      <c r="C10" s="288"/>
      <c r="D10" s="288"/>
      <c r="E10" s="288"/>
      <c r="F10" s="288"/>
      <c r="G10" s="288"/>
      <c r="H10" s="288"/>
      <c r="I10" s="288"/>
      <c r="J10" s="288"/>
      <c r="K10" s="288"/>
      <c r="L10" s="9"/>
      <c r="M10" s="9"/>
      <c r="N10" s="9"/>
      <c r="O10" s="9"/>
      <c r="P10" s="9"/>
    </row>
    <row r="11" spans="1:16" ht="18" customHeight="1" x14ac:dyDescent="0.25">
      <c r="A11" s="1368" t="s">
        <v>279</v>
      </c>
      <c r="B11" s="1368"/>
      <c r="C11" s="1368"/>
      <c r="D11" s="1368"/>
      <c r="E11" s="288"/>
      <c r="F11" s="288"/>
      <c r="G11" s="288"/>
      <c r="H11" s="288"/>
      <c r="I11" s="288"/>
      <c r="J11" s="288"/>
      <c r="K11" s="288"/>
      <c r="L11" s="9"/>
      <c r="M11" s="9"/>
      <c r="N11" s="9"/>
      <c r="O11" s="9"/>
      <c r="P11" s="9"/>
    </row>
    <row r="12" spans="1:16" ht="15" customHeight="1" x14ac:dyDescent="0.25">
      <c r="A12" s="288"/>
      <c r="B12" s="288"/>
      <c r="C12" s="288"/>
      <c r="D12" s="288"/>
      <c r="E12" s="288"/>
      <c r="F12" s="288"/>
      <c r="G12" s="288"/>
      <c r="H12" s="288"/>
      <c r="I12" s="288"/>
      <c r="J12" s="288"/>
      <c r="K12" s="288"/>
      <c r="L12" s="9"/>
      <c r="M12" s="9"/>
      <c r="N12" s="9"/>
      <c r="O12" s="9"/>
      <c r="P12" s="9"/>
    </row>
    <row r="13" spans="1:16" x14ac:dyDescent="0.25">
      <c r="A13" s="288"/>
      <c r="B13" s="288" t="s">
        <v>2233</v>
      </c>
      <c r="C13" s="288"/>
      <c r="D13" s="288"/>
      <c r="E13" s="288"/>
      <c r="F13" s="288"/>
      <c r="G13" s="288"/>
      <c r="H13" s="288"/>
      <c r="I13" s="288"/>
      <c r="J13" s="288"/>
      <c r="K13" s="288"/>
      <c r="L13" s="9"/>
      <c r="M13" s="9"/>
      <c r="N13" s="9"/>
      <c r="O13" s="9"/>
      <c r="P13" s="9"/>
    </row>
    <row r="14" spans="1:16" ht="16.5" customHeight="1" x14ac:dyDescent="0.25">
      <c r="A14" s="288"/>
      <c r="B14" s="287">
        <v>1</v>
      </c>
      <c r="C14" s="1534" t="s">
        <v>1819</v>
      </c>
      <c r="D14" s="1535"/>
      <c r="E14" s="1535"/>
      <c r="F14" s="1535"/>
      <c r="G14" s="1535"/>
      <c r="H14" s="1535"/>
      <c r="I14" s="1535"/>
      <c r="J14" s="1535"/>
      <c r="K14" s="1536"/>
      <c r="L14" s="1537" t="s">
        <v>281</v>
      </c>
      <c r="M14" s="1537"/>
      <c r="N14" s="9"/>
      <c r="O14" s="9"/>
      <c r="P14" s="9"/>
    </row>
    <row r="15" spans="1:16" ht="16.5" customHeight="1" x14ac:dyDescent="0.25">
      <c r="A15" s="288"/>
      <c r="B15" s="287">
        <v>2</v>
      </c>
      <c r="C15" s="1534" t="s">
        <v>1785</v>
      </c>
      <c r="D15" s="1535"/>
      <c r="E15" s="1535"/>
      <c r="F15" s="1535"/>
      <c r="G15" s="1535"/>
      <c r="H15" s="1535"/>
      <c r="I15" s="1535"/>
      <c r="J15" s="1535"/>
      <c r="K15" s="1536"/>
      <c r="L15" s="1537" t="s">
        <v>281</v>
      </c>
      <c r="M15" s="1537"/>
      <c r="N15" s="9"/>
      <c r="O15" s="9"/>
      <c r="P15" s="9"/>
    </row>
    <row r="16" spans="1:16" ht="30" customHeight="1" x14ac:dyDescent="0.25">
      <c r="A16" s="288"/>
      <c r="B16" s="287">
        <v>3</v>
      </c>
      <c r="C16" s="1539" t="s">
        <v>1783</v>
      </c>
      <c r="D16" s="1540"/>
      <c r="E16" s="1540"/>
      <c r="F16" s="1540"/>
      <c r="G16" s="1540"/>
      <c r="H16" s="1540"/>
      <c r="I16" s="1540"/>
      <c r="J16" s="1540"/>
      <c r="K16" s="1541"/>
      <c r="L16" s="1537" t="s">
        <v>281</v>
      </c>
      <c r="M16" s="1537"/>
      <c r="N16" s="9"/>
      <c r="O16" s="9"/>
      <c r="P16" s="9"/>
    </row>
    <row r="17" spans="1:16" ht="15" customHeight="1" x14ac:dyDescent="0.25">
      <c r="A17" s="288"/>
      <c r="B17" s="288"/>
      <c r="C17" s="288"/>
      <c r="D17" s="288"/>
      <c r="E17" s="288"/>
      <c r="F17" s="288"/>
      <c r="G17" s="288"/>
      <c r="H17" s="288"/>
      <c r="I17" s="288"/>
      <c r="J17" s="288"/>
      <c r="K17" s="288"/>
      <c r="L17" s="9"/>
      <c r="M17" s="9"/>
      <c r="N17" s="9"/>
      <c r="O17" s="9"/>
      <c r="P17" s="9"/>
    </row>
    <row r="18" spans="1:16" ht="18" customHeight="1" x14ac:dyDescent="0.25">
      <c r="A18" s="288"/>
      <c r="B18" s="288" t="s">
        <v>1789</v>
      </c>
      <c r="C18" s="288"/>
      <c r="D18" s="288"/>
      <c r="E18" s="288"/>
      <c r="F18" s="288"/>
      <c r="G18" s="288"/>
      <c r="H18" s="288"/>
      <c r="I18" s="288"/>
      <c r="J18" s="288"/>
      <c r="K18" s="288"/>
      <c r="L18" s="9"/>
      <c r="M18" s="9"/>
      <c r="N18" s="9"/>
      <c r="O18" s="9"/>
      <c r="P18" s="9"/>
    </row>
    <row r="19" spans="1:16" ht="18" customHeight="1" x14ac:dyDescent="0.25">
      <c r="A19" s="288"/>
      <c r="B19" s="287">
        <v>1</v>
      </c>
      <c r="C19" s="1539" t="s">
        <v>695</v>
      </c>
      <c r="D19" s="1540"/>
      <c r="E19" s="1540"/>
      <c r="F19" s="1540"/>
      <c r="G19" s="1540"/>
      <c r="H19" s="1540"/>
      <c r="I19" s="1540"/>
      <c r="J19" s="1540"/>
      <c r="K19" s="1541"/>
      <c r="L19" s="1537" t="s">
        <v>281</v>
      </c>
      <c r="M19" s="1537"/>
      <c r="N19" s="9"/>
      <c r="O19" s="9"/>
      <c r="P19" s="9"/>
    </row>
    <row r="20" spans="1:16" ht="18" customHeight="1" x14ac:dyDescent="0.25">
      <c r="A20" s="288"/>
      <c r="B20" s="287">
        <v>2</v>
      </c>
      <c r="C20" s="1539" t="s">
        <v>696</v>
      </c>
      <c r="D20" s="1540"/>
      <c r="E20" s="1540"/>
      <c r="F20" s="1540"/>
      <c r="G20" s="1540"/>
      <c r="H20" s="1540"/>
      <c r="I20" s="1540"/>
      <c r="J20" s="1540"/>
      <c r="K20" s="1541"/>
      <c r="L20" s="1537" t="s">
        <v>281</v>
      </c>
      <c r="M20" s="1537"/>
      <c r="N20" s="9"/>
      <c r="O20" s="9"/>
      <c r="P20" s="9"/>
    </row>
    <row r="21" spans="1:16" ht="18" customHeight="1" x14ac:dyDescent="0.25">
      <c r="A21" s="288"/>
      <c r="B21" s="288"/>
      <c r="C21" s="288"/>
      <c r="D21" s="288"/>
      <c r="E21" s="288"/>
      <c r="F21" s="288"/>
      <c r="G21" s="288"/>
      <c r="H21" s="288"/>
      <c r="I21" s="288"/>
      <c r="J21" s="288"/>
      <c r="K21" s="288"/>
      <c r="L21" s="9"/>
      <c r="M21" s="9"/>
      <c r="N21" s="9"/>
      <c r="O21" s="9"/>
      <c r="P21" s="9"/>
    </row>
    <row r="22" spans="1:16" ht="18" customHeight="1" x14ac:dyDescent="0.25">
      <c r="A22" s="1368" t="s">
        <v>282</v>
      </c>
      <c r="B22" s="1368"/>
      <c r="C22" s="1368"/>
      <c r="D22" s="1368"/>
      <c r="E22" s="288"/>
      <c r="F22" s="288"/>
      <c r="G22" s="288"/>
      <c r="H22" s="288"/>
      <c r="I22" s="288"/>
      <c r="J22" s="288"/>
      <c r="K22" s="288"/>
      <c r="L22" s="9"/>
      <c r="M22" s="9"/>
      <c r="N22" s="9"/>
      <c r="O22" s="9"/>
      <c r="P22" s="9"/>
    </row>
    <row r="23" spans="1:16" ht="12" customHeight="1" x14ac:dyDescent="0.25">
      <c r="A23" s="288"/>
      <c r="B23" s="288"/>
      <c r="C23" s="288"/>
      <c r="D23" s="288"/>
      <c r="E23" s="288"/>
      <c r="F23" s="288"/>
      <c r="G23" s="288"/>
      <c r="H23" s="288"/>
      <c r="I23" s="288"/>
      <c r="J23" s="288"/>
      <c r="K23" s="288"/>
      <c r="L23" s="9"/>
      <c r="M23" s="9"/>
      <c r="N23" s="9"/>
      <c r="O23" s="9"/>
      <c r="P23" s="9"/>
    </row>
    <row r="24" spans="1:16" ht="18" customHeight="1" x14ac:dyDescent="0.25">
      <c r="A24" s="288"/>
      <c r="B24" s="288" t="s">
        <v>283</v>
      </c>
      <c r="C24" s="288"/>
      <c r="D24" s="288"/>
      <c r="E24" s="288"/>
      <c r="F24" s="288"/>
      <c r="G24" s="288"/>
      <c r="H24" s="288"/>
      <c r="I24" s="288"/>
      <c r="J24" s="288"/>
      <c r="K24" s="288"/>
      <c r="L24" s="9"/>
      <c r="M24" s="9"/>
      <c r="N24" s="9"/>
      <c r="O24" s="9"/>
      <c r="P24" s="9"/>
    </row>
    <row r="25" spans="1:16" ht="18" customHeight="1" x14ac:dyDescent="0.25">
      <c r="A25" s="288"/>
      <c r="B25" s="287">
        <v>1</v>
      </c>
      <c r="C25" s="1538" t="s">
        <v>1786</v>
      </c>
      <c r="D25" s="1538"/>
      <c r="E25" s="1538"/>
      <c r="F25" s="1538"/>
      <c r="G25" s="1538"/>
      <c r="H25" s="1538"/>
      <c r="I25" s="1538"/>
      <c r="J25" s="1538"/>
      <c r="K25" s="1538"/>
      <c r="L25" s="1537" t="s">
        <v>281</v>
      </c>
      <c r="M25" s="1537"/>
      <c r="N25" s="9"/>
      <c r="O25" s="9"/>
      <c r="P25" s="9"/>
    </row>
    <row r="26" spans="1:16" ht="18" customHeight="1" x14ac:dyDescent="0.25">
      <c r="A26" s="288"/>
      <c r="B26" s="287">
        <v>2</v>
      </c>
      <c r="C26" s="1538" t="s">
        <v>284</v>
      </c>
      <c r="D26" s="1538"/>
      <c r="E26" s="1538"/>
      <c r="F26" s="1538"/>
      <c r="G26" s="1538"/>
      <c r="H26" s="1538"/>
      <c r="I26" s="1538"/>
      <c r="J26" s="1538"/>
      <c r="K26" s="1538"/>
      <c r="L26" s="1537" t="s">
        <v>281</v>
      </c>
      <c r="M26" s="1537"/>
      <c r="N26" s="9"/>
      <c r="O26" s="9"/>
      <c r="P26" s="9"/>
    </row>
    <row r="27" spans="1:16" ht="18" customHeight="1" x14ac:dyDescent="0.25">
      <c r="A27" s="288"/>
      <c r="B27" s="287">
        <v>3</v>
      </c>
      <c r="C27" s="1538" t="s">
        <v>697</v>
      </c>
      <c r="D27" s="1538"/>
      <c r="E27" s="1538"/>
      <c r="F27" s="1538"/>
      <c r="G27" s="1538"/>
      <c r="H27" s="1538"/>
      <c r="I27" s="1538"/>
      <c r="J27" s="1538"/>
      <c r="K27" s="1538"/>
      <c r="L27" s="1537" t="s">
        <v>281</v>
      </c>
      <c r="M27" s="1537"/>
      <c r="N27" s="9"/>
      <c r="O27" s="9"/>
      <c r="P27" s="9"/>
    </row>
    <row r="28" spans="1:16" ht="18" customHeight="1" x14ac:dyDescent="0.25">
      <c r="A28" s="288"/>
      <c r="B28" s="287">
        <v>4</v>
      </c>
      <c r="C28" s="1538" t="s">
        <v>698</v>
      </c>
      <c r="D28" s="1538"/>
      <c r="E28" s="1538"/>
      <c r="F28" s="1538"/>
      <c r="G28" s="1538"/>
      <c r="H28" s="1538"/>
      <c r="I28" s="1538"/>
      <c r="J28" s="1538"/>
      <c r="K28" s="1538"/>
      <c r="L28" s="1537" t="s">
        <v>281</v>
      </c>
      <c r="M28" s="1537"/>
      <c r="N28" s="9"/>
      <c r="O28" s="9"/>
      <c r="P28" s="9"/>
    </row>
    <row r="29" spans="1:16" ht="28.5" customHeight="1" x14ac:dyDescent="0.25">
      <c r="A29" s="288"/>
      <c r="B29" s="287">
        <v>5</v>
      </c>
      <c r="C29" s="1538" t="s">
        <v>1787</v>
      </c>
      <c r="D29" s="1538"/>
      <c r="E29" s="1538"/>
      <c r="F29" s="1538"/>
      <c r="G29" s="1538"/>
      <c r="H29" s="1538"/>
      <c r="I29" s="1538"/>
      <c r="J29" s="1538"/>
      <c r="K29" s="1538"/>
      <c r="L29" s="1537" t="s">
        <v>281</v>
      </c>
      <c r="M29" s="1537"/>
      <c r="N29" s="9"/>
      <c r="O29" s="9"/>
      <c r="P29" s="9"/>
    </row>
    <row r="30" spans="1:16" ht="18" customHeight="1" x14ac:dyDescent="0.25">
      <c r="A30" s="288"/>
      <c r="B30" s="288"/>
      <c r="C30" s="288"/>
      <c r="D30" s="288"/>
      <c r="E30" s="288"/>
      <c r="F30" s="288"/>
      <c r="G30" s="288"/>
      <c r="H30" s="288"/>
      <c r="I30" s="288"/>
      <c r="J30" s="288"/>
      <c r="K30" s="288"/>
      <c r="L30" s="9"/>
      <c r="M30" s="9"/>
      <c r="N30" s="9"/>
      <c r="O30" s="9"/>
      <c r="P30" s="9"/>
    </row>
    <row r="31" spans="1:16" ht="18" customHeight="1" x14ac:dyDescent="0.25">
      <c r="A31" s="1368" t="s">
        <v>280</v>
      </c>
      <c r="B31" s="1368"/>
      <c r="C31" s="1368"/>
      <c r="D31" s="1368"/>
      <c r="E31" s="288"/>
      <c r="F31" s="288"/>
      <c r="G31" s="288"/>
      <c r="H31" s="288"/>
      <c r="I31" s="288"/>
      <c r="J31" s="288"/>
      <c r="K31" s="288"/>
      <c r="L31" s="9"/>
      <c r="M31" s="9"/>
      <c r="N31" s="9"/>
      <c r="O31" s="9"/>
      <c r="P31" s="9"/>
    </row>
    <row r="32" spans="1:16" x14ac:dyDescent="0.25">
      <c r="A32" s="288"/>
      <c r="B32" s="288"/>
      <c r="C32" s="288"/>
      <c r="D32" s="288"/>
      <c r="E32" s="288"/>
      <c r="F32" s="288"/>
      <c r="G32" s="288"/>
      <c r="H32" s="288"/>
      <c r="I32" s="288"/>
      <c r="J32" s="288"/>
      <c r="K32" s="288"/>
      <c r="L32" s="9"/>
      <c r="M32" s="9"/>
      <c r="N32" s="9"/>
      <c r="O32" s="9"/>
      <c r="P32" s="9"/>
    </row>
    <row r="33" spans="1:16" ht="16.5" customHeight="1" x14ac:dyDescent="0.25">
      <c r="A33" s="288"/>
      <c r="B33" s="287">
        <v>1</v>
      </c>
      <c r="C33" s="1534" t="s">
        <v>1784</v>
      </c>
      <c r="D33" s="1535"/>
      <c r="E33" s="1535"/>
      <c r="F33" s="1535"/>
      <c r="G33" s="1535"/>
      <c r="H33" s="1535"/>
      <c r="I33" s="1535"/>
      <c r="J33" s="1535"/>
      <c r="K33" s="1536"/>
      <c r="L33" s="1537" t="s">
        <v>281</v>
      </c>
      <c r="M33" s="1537"/>
      <c r="N33" s="9"/>
      <c r="O33" s="9"/>
      <c r="P33" s="9"/>
    </row>
    <row r="34" spans="1:16" ht="18" customHeight="1" x14ac:dyDescent="0.25">
      <c r="A34" s="288"/>
      <c r="B34" s="287">
        <v>2</v>
      </c>
      <c r="C34" s="1534" t="s">
        <v>285</v>
      </c>
      <c r="D34" s="1535"/>
      <c r="E34" s="1535"/>
      <c r="F34" s="1535"/>
      <c r="G34" s="1535"/>
      <c r="H34" s="1535"/>
      <c r="I34" s="1535"/>
      <c r="J34" s="1535"/>
      <c r="K34" s="1536"/>
      <c r="L34" s="1537" t="s">
        <v>281</v>
      </c>
      <c r="M34" s="1537"/>
      <c r="N34" s="9"/>
      <c r="O34" s="9"/>
      <c r="P34" s="9"/>
    </row>
    <row r="35" spans="1:16" ht="44.25" customHeight="1" x14ac:dyDescent="0.25">
      <c r="A35" s="288"/>
      <c r="B35" s="287">
        <v>3</v>
      </c>
      <c r="C35" s="1538" t="s">
        <v>2232</v>
      </c>
      <c r="D35" s="1538"/>
      <c r="E35" s="1538"/>
      <c r="F35" s="1538"/>
      <c r="G35" s="1538"/>
      <c r="H35" s="1538"/>
      <c r="I35" s="1538"/>
      <c r="J35" s="1538"/>
      <c r="K35" s="1538"/>
      <c r="L35" s="1537" t="s">
        <v>281</v>
      </c>
      <c r="M35" s="1537"/>
      <c r="N35" s="9"/>
      <c r="O35" s="9"/>
      <c r="P35" s="9"/>
    </row>
    <row r="36" spans="1:16" x14ac:dyDescent="0.25">
      <c r="A36" s="288"/>
      <c r="B36" s="288"/>
      <c r="C36" s="288"/>
      <c r="D36" s="288"/>
      <c r="E36" s="288"/>
      <c r="F36" s="288"/>
      <c r="G36" s="288"/>
      <c r="H36" s="288"/>
      <c r="I36" s="288"/>
      <c r="J36" s="288"/>
      <c r="K36" s="288"/>
      <c r="L36" s="9"/>
      <c r="M36" s="9"/>
      <c r="N36" s="9"/>
      <c r="O36" s="9"/>
      <c r="P36" s="9"/>
    </row>
    <row r="37" spans="1:16" x14ac:dyDescent="0.25">
      <c r="A37" s="288"/>
      <c r="B37" s="288"/>
      <c r="C37" s="288"/>
      <c r="D37" s="288"/>
      <c r="E37" s="288"/>
      <c r="F37" s="288"/>
      <c r="G37" s="288"/>
      <c r="H37" s="288"/>
      <c r="I37" s="288"/>
      <c r="J37" s="288"/>
      <c r="K37" s="288"/>
      <c r="L37" s="9"/>
      <c r="M37" s="9"/>
      <c r="N37" s="9"/>
      <c r="O37" s="9"/>
      <c r="P37" s="9"/>
    </row>
    <row r="38" spans="1:16" hidden="1" x14ac:dyDescent="0.25">
      <c r="B38" s="288"/>
      <c r="C38" s="288"/>
      <c r="D38" s="288"/>
      <c r="E38" s="288"/>
      <c r="F38" s="288"/>
      <c r="G38" s="288"/>
      <c r="H38" s="288"/>
      <c r="I38" s="288"/>
      <c r="J38" s="288"/>
      <c r="K38" s="288"/>
      <c r="L38" s="9"/>
      <c r="M38" s="9"/>
      <c r="N38" s="9"/>
      <c r="O38" s="9"/>
      <c r="P38" s="9"/>
    </row>
    <row r="39" spans="1:16" hidden="1" x14ac:dyDescent="0.25">
      <c r="B39" s="288"/>
      <c r="C39" s="288"/>
      <c r="D39" s="288"/>
      <c r="E39" s="288"/>
      <c r="F39" s="288"/>
      <c r="G39" s="288"/>
      <c r="H39" s="288"/>
      <c r="I39" s="288"/>
      <c r="J39" s="288"/>
      <c r="K39" s="288"/>
      <c r="L39" s="9"/>
      <c r="M39" s="9"/>
      <c r="N39" s="9"/>
      <c r="O39" s="9"/>
      <c r="P39" s="9"/>
    </row>
    <row r="40" spans="1:16" hidden="1" x14ac:dyDescent="0.25">
      <c r="B40" s="14"/>
      <c r="C40" s="14"/>
      <c r="D40" s="14"/>
      <c r="E40" s="14"/>
      <c r="F40" s="14"/>
      <c r="G40" s="14"/>
      <c r="H40" s="14"/>
      <c r="I40" s="14"/>
      <c r="J40" s="14"/>
      <c r="K40" s="14"/>
      <c r="L40" s="10"/>
      <c r="M40" s="10"/>
      <c r="N40" s="10"/>
      <c r="O40" s="10"/>
      <c r="P40" s="10"/>
    </row>
    <row r="41" spans="1:16" hidden="1" x14ac:dyDescent="0.25">
      <c r="B41" s="14"/>
      <c r="C41" s="14"/>
      <c r="D41" s="14"/>
      <c r="E41" s="14"/>
      <c r="F41" s="14"/>
      <c r="G41" s="14"/>
      <c r="H41" s="14"/>
      <c r="I41" s="14"/>
      <c r="J41" s="14"/>
      <c r="K41" s="14"/>
      <c r="L41" s="10"/>
      <c r="M41" s="10"/>
      <c r="N41" s="10"/>
      <c r="O41" s="10"/>
      <c r="P41" s="10"/>
    </row>
    <row r="42" spans="1:16" hidden="1" x14ac:dyDescent="0.25">
      <c r="B42" s="10"/>
      <c r="C42" s="10"/>
      <c r="D42" s="10"/>
      <c r="E42" s="10"/>
      <c r="F42" s="10"/>
      <c r="G42" s="10"/>
      <c r="H42" s="10"/>
      <c r="I42" s="10"/>
      <c r="J42" s="10"/>
      <c r="K42" s="10"/>
      <c r="L42" s="10"/>
      <c r="M42" s="10"/>
      <c r="N42" s="10"/>
      <c r="O42" s="10"/>
      <c r="P42" s="10"/>
    </row>
    <row r="43" spans="1:16" hidden="1" x14ac:dyDescent="0.25">
      <c r="B43" s="10"/>
      <c r="C43" s="10"/>
      <c r="D43" s="10"/>
      <c r="E43" s="10"/>
      <c r="F43" s="10"/>
      <c r="G43" s="10"/>
      <c r="H43" s="10"/>
      <c r="I43" s="10"/>
      <c r="J43" s="10"/>
      <c r="K43" s="10"/>
      <c r="L43" s="10"/>
      <c r="M43" s="10"/>
      <c r="N43" s="10"/>
      <c r="O43" s="10"/>
      <c r="P43" s="10"/>
    </row>
    <row r="44" spans="1:16" hidden="1" x14ac:dyDescent="0.25">
      <c r="B44" s="10"/>
      <c r="C44" s="10"/>
      <c r="D44" s="10"/>
      <c r="E44" s="10"/>
      <c r="F44" s="10"/>
      <c r="G44" s="10"/>
      <c r="H44" s="10"/>
      <c r="I44" s="10"/>
      <c r="J44" s="10"/>
      <c r="K44" s="10"/>
      <c r="L44" s="10"/>
      <c r="M44" s="10"/>
      <c r="N44" s="10"/>
      <c r="O44" s="10"/>
      <c r="P44" s="10"/>
    </row>
    <row r="45" spans="1:16" hidden="1" x14ac:dyDescent="0.25">
      <c r="B45" s="10"/>
      <c r="C45" s="10"/>
      <c r="D45" s="10"/>
      <c r="E45" s="10"/>
      <c r="F45" s="10"/>
      <c r="G45" s="10"/>
      <c r="H45" s="10"/>
      <c r="I45" s="10"/>
      <c r="J45" s="10"/>
      <c r="K45" s="10"/>
      <c r="L45" s="10"/>
      <c r="M45" s="10"/>
      <c r="N45" s="10"/>
      <c r="O45" s="10"/>
      <c r="P45" s="10"/>
    </row>
    <row r="46" spans="1:16" hidden="1" x14ac:dyDescent="0.25">
      <c r="B46" s="10"/>
      <c r="C46" s="10"/>
      <c r="D46" s="10"/>
      <c r="E46" s="10"/>
      <c r="F46" s="10"/>
      <c r="G46" s="10"/>
      <c r="H46" s="10"/>
      <c r="I46" s="10"/>
      <c r="J46" s="10"/>
      <c r="K46" s="10"/>
      <c r="L46" s="10"/>
      <c r="M46" s="10"/>
      <c r="N46" s="10"/>
      <c r="O46" s="10"/>
      <c r="P46" s="10"/>
    </row>
    <row r="47" spans="1:16" hidden="1" x14ac:dyDescent="0.25">
      <c r="B47" s="10"/>
      <c r="C47" s="10"/>
      <c r="D47" s="10"/>
      <c r="E47" s="10"/>
      <c r="F47" s="10"/>
      <c r="G47" s="10"/>
      <c r="H47" s="10"/>
      <c r="I47" s="10"/>
      <c r="J47" s="10"/>
      <c r="K47" s="10"/>
      <c r="L47" s="10"/>
      <c r="M47" s="10"/>
      <c r="N47" s="10"/>
      <c r="O47" s="10"/>
      <c r="P47" s="10"/>
    </row>
    <row r="48" spans="1:16" hidden="1" x14ac:dyDescent="0.25"/>
    <row r="49" ht="15" hidden="1" customHeight="1" x14ac:dyDescent="0.25"/>
    <row r="50" ht="15" hidden="1" customHeight="1" x14ac:dyDescent="0.25"/>
  </sheetData>
  <sheetProtection algorithmName="SHA-512" hashValue="qC8G+zBO+i6Ko+me9AKwpwHPhZOdDMBV2/Pumpe7zb5l7VFiWqdXwOr8TSuJbZtzs535wKWVuIRkQtL0w7u6GQ==" saltValue="3Bd1FXVyzM1sNDbhKiI0+w==" spinCount="100000" sheet="1" objects="1" scenarios="1"/>
  <mergeCells count="38">
    <mergeCell ref="A1:P1"/>
    <mergeCell ref="A11:D11"/>
    <mergeCell ref="A22:D22"/>
    <mergeCell ref="A31:D31"/>
    <mergeCell ref="C7:K7"/>
    <mergeCell ref="L7:M7"/>
    <mergeCell ref="C8:K8"/>
    <mergeCell ref="L8:M8"/>
    <mergeCell ref="A5:D5"/>
    <mergeCell ref="C9:K9"/>
    <mergeCell ref="L9:M9"/>
    <mergeCell ref="C14:K14"/>
    <mergeCell ref="L14:M14"/>
    <mergeCell ref="C15:K15"/>
    <mergeCell ref="L15:M15"/>
    <mergeCell ref="A2:P3"/>
    <mergeCell ref="C16:K16"/>
    <mergeCell ref="L16:M16"/>
    <mergeCell ref="C19:K19"/>
    <mergeCell ref="L19:M19"/>
    <mergeCell ref="C20:K20"/>
    <mergeCell ref="L20:M20"/>
    <mergeCell ref="C34:K34"/>
    <mergeCell ref="L34:M34"/>
    <mergeCell ref="C35:K35"/>
    <mergeCell ref="L35:M35"/>
    <mergeCell ref="C25:K25"/>
    <mergeCell ref="L25:M25"/>
    <mergeCell ref="C26:K26"/>
    <mergeCell ref="L26:M26"/>
    <mergeCell ref="C27:K27"/>
    <mergeCell ref="L27:M27"/>
    <mergeCell ref="C28:K28"/>
    <mergeCell ref="L28:M28"/>
    <mergeCell ref="C29:K29"/>
    <mergeCell ref="L29:M29"/>
    <mergeCell ref="C33:K33"/>
    <mergeCell ref="L33:M33"/>
  </mergeCells>
  <dataValidations count="1">
    <dataValidation type="list" allowBlank="1" showInputMessage="1" showErrorMessage="1" sqref="L7:M9 L14:M16 L33:M35 L19:M20 L25:M29">
      <formula1>"Please confirm,Yes,No"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50"/>
  <sheetViews>
    <sheetView showRowColHeaders="0" workbookViewId="0">
      <pane ySplit="3" topLeftCell="A4" activePane="bottomLeft" state="frozen"/>
      <selection pane="bottomLeft" activeCell="O18" sqref="O18"/>
    </sheetView>
  </sheetViews>
  <sheetFormatPr defaultColWidth="0" defaultRowHeight="15" customHeight="1" zeroHeight="1" x14ac:dyDescent="0.25"/>
  <cols>
    <col min="1" max="1" width="5.7109375" customWidth="1"/>
    <col min="2" max="2" width="9.7109375" customWidth="1"/>
    <col min="3" max="3" width="9.5703125" customWidth="1"/>
    <col min="4" max="8" width="9.140625" customWidth="1"/>
    <col min="9" max="9" width="9.28515625" customWidth="1"/>
    <col min="10" max="10" width="9.5703125" customWidth="1"/>
    <col min="11" max="11" width="11.7109375" customWidth="1"/>
    <col min="12" max="16" width="9.140625" customWidth="1"/>
    <col min="17" max="16384" width="9.140625" hidden="1"/>
  </cols>
  <sheetData>
    <row r="1" spans="1:16" ht="30" customHeight="1" x14ac:dyDescent="0.25">
      <c r="A1" s="1367" t="s">
        <v>1296</v>
      </c>
      <c r="B1" s="1367"/>
      <c r="C1" s="1367"/>
      <c r="D1" s="1367"/>
      <c r="E1" s="1367"/>
      <c r="F1" s="1367"/>
      <c r="G1" s="1367"/>
      <c r="H1" s="1367"/>
      <c r="I1" s="1367"/>
      <c r="J1" s="1367"/>
      <c r="K1" s="1367"/>
      <c r="L1" s="1367"/>
      <c r="M1" s="1367"/>
      <c r="N1" s="1367"/>
      <c r="O1" s="1367"/>
      <c r="P1" s="1367"/>
    </row>
    <row r="2" spans="1:16" ht="18" customHeight="1" x14ac:dyDescent="0.25">
      <c r="A2" s="1542" t="s">
        <v>2234</v>
      </c>
      <c r="B2" s="1542"/>
      <c r="C2" s="1542"/>
      <c r="D2" s="1542"/>
      <c r="E2" s="1542"/>
      <c r="F2" s="1542"/>
      <c r="G2" s="1542"/>
      <c r="H2" s="1542"/>
      <c r="I2" s="1542"/>
      <c r="J2" s="1542"/>
      <c r="K2" s="1542"/>
      <c r="L2" s="1542"/>
      <c r="M2" s="1542"/>
      <c r="N2" s="1542"/>
      <c r="O2" s="1542"/>
      <c r="P2" s="1542"/>
    </row>
    <row r="3" spans="1:16" ht="18" customHeight="1" x14ac:dyDescent="0.25">
      <c r="A3" s="1542"/>
      <c r="B3" s="1542"/>
      <c r="C3" s="1542"/>
      <c r="D3" s="1542"/>
      <c r="E3" s="1542"/>
      <c r="F3" s="1542"/>
      <c r="G3" s="1542"/>
      <c r="H3" s="1542"/>
      <c r="I3" s="1542"/>
      <c r="J3" s="1542"/>
      <c r="K3" s="1542"/>
      <c r="L3" s="1542"/>
      <c r="M3" s="1542"/>
      <c r="N3" s="1542"/>
      <c r="O3" s="1542"/>
      <c r="P3" s="1542"/>
    </row>
    <row r="4" spans="1:16" ht="15" customHeight="1" x14ac:dyDescent="0.25">
      <c r="A4" s="288"/>
      <c r="B4" s="288"/>
      <c r="C4" s="288"/>
      <c r="D4" s="288"/>
      <c r="E4" s="288"/>
      <c r="F4" s="288"/>
      <c r="G4" s="288"/>
      <c r="H4" s="288"/>
      <c r="I4" s="288"/>
      <c r="J4" s="288"/>
      <c r="K4" s="288"/>
      <c r="L4" s="9"/>
      <c r="M4" s="9"/>
      <c r="N4" s="9"/>
      <c r="O4" s="9"/>
      <c r="P4" s="9"/>
    </row>
    <row r="5" spans="1:16" ht="18" customHeight="1" x14ac:dyDescent="0.25">
      <c r="A5" s="1368" t="s">
        <v>278</v>
      </c>
      <c r="B5" s="1368"/>
      <c r="C5" s="1368"/>
      <c r="D5" s="1368"/>
      <c r="E5" s="288"/>
      <c r="F5" s="288"/>
      <c r="G5" s="288"/>
      <c r="H5" s="288"/>
      <c r="I5" s="288"/>
      <c r="J5" s="288"/>
      <c r="K5" s="288"/>
      <c r="L5" s="9"/>
      <c r="M5" s="9"/>
      <c r="N5" s="9"/>
      <c r="O5" s="9"/>
      <c r="P5" s="9"/>
    </row>
    <row r="6" spans="1:16" x14ac:dyDescent="0.25">
      <c r="A6" s="288"/>
      <c r="B6" s="288"/>
      <c r="C6" s="288"/>
      <c r="D6" s="288"/>
      <c r="E6" s="288"/>
      <c r="F6" s="288"/>
      <c r="G6" s="288"/>
      <c r="H6" s="288"/>
      <c r="I6" s="288"/>
      <c r="J6" s="288"/>
      <c r="K6" s="288"/>
      <c r="L6" s="9"/>
      <c r="M6" s="9"/>
      <c r="N6" s="9"/>
      <c r="O6" s="9"/>
      <c r="P6" s="9"/>
    </row>
    <row r="7" spans="1:16" ht="18" customHeight="1" x14ac:dyDescent="0.25">
      <c r="A7" s="288"/>
      <c r="B7" s="287">
        <v>1</v>
      </c>
      <c r="C7" s="1534" t="s">
        <v>2230</v>
      </c>
      <c r="D7" s="1535"/>
      <c r="E7" s="1535"/>
      <c r="F7" s="1535"/>
      <c r="G7" s="1535"/>
      <c r="H7" s="1535"/>
      <c r="I7" s="1535"/>
      <c r="J7" s="1535"/>
      <c r="K7" s="1536"/>
      <c r="L7" s="1537" t="s">
        <v>281</v>
      </c>
      <c r="M7" s="1537"/>
      <c r="N7" s="9"/>
      <c r="O7" s="9"/>
      <c r="P7" s="9"/>
    </row>
    <row r="8" spans="1:16" ht="18" customHeight="1" x14ac:dyDescent="0.25">
      <c r="A8" s="288"/>
      <c r="B8" s="287">
        <v>2</v>
      </c>
      <c r="C8" s="1534" t="s">
        <v>2231</v>
      </c>
      <c r="D8" s="1535"/>
      <c r="E8" s="1535"/>
      <c r="F8" s="1535"/>
      <c r="G8" s="1535"/>
      <c r="H8" s="1535"/>
      <c r="I8" s="1535"/>
      <c r="J8" s="1535"/>
      <c r="K8" s="1536"/>
      <c r="L8" s="1537" t="s">
        <v>281</v>
      </c>
      <c r="M8" s="1537"/>
      <c r="N8" s="9"/>
      <c r="O8" s="9"/>
      <c r="P8" s="9"/>
    </row>
    <row r="9" spans="1:16" ht="27" customHeight="1" x14ac:dyDescent="0.25">
      <c r="A9" s="288"/>
      <c r="B9" s="287">
        <v>3</v>
      </c>
      <c r="C9" s="1539" t="s">
        <v>2229</v>
      </c>
      <c r="D9" s="1540"/>
      <c r="E9" s="1540"/>
      <c r="F9" s="1540"/>
      <c r="G9" s="1540"/>
      <c r="H9" s="1540"/>
      <c r="I9" s="1540"/>
      <c r="J9" s="1540"/>
      <c r="K9" s="1541"/>
      <c r="L9" s="1537" t="s">
        <v>281</v>
      </c>
      <c r="M9" s="1537"/>
      <c r="N9" s="9"/>
      <c r="O9" s="9"/>
      <c r="P9" s="9"/>
    </row>
    <row r="10" spans="1:16" ht="18" customHeight="1" x14ac:dyDescent="0.25">
      <c r="A10" s="288"/>
      <c r="B10" s="288"/>
      <c r="C10" s="288"/>
      <c r="D10" s="288"/>
      <c r="E10" s="288"/>
      <c r="F10" s="288"/>
      <c r="G10" s="288"/>
      <c r="H10" s="288"/>
      <c r="I10" s="288"/>
      <c r="J10" s="288"/>
      <c r="K10" s="288"/>
      <c r="L10" s="9"/>
      <c r="M10" s="9"/>
      <c r="N10" s="9"/>
      <c r="O10" s="9"/>
      <c r="P10" s="9"/>
    </row>
    <row r="11" spans="1:16" ht="18" customHeight="1" x14ac:dyDescent="0.25">
      <c r="A11" s="1368" t="s">
        <v>279</v>
      </c>
      <c r="B11" s="1368"/>
      <c r="C11" s="1368"/>
      <c r="D11" s="1368"/>
      <c r="E11" s="288"/>
      <c r="F11" s="288"/>
      <c r="G11" s="288"/>
      <c r="H11" s="288"/>
      <c r="I11" s="288"/>
      <c r="J11" s="288"/>
      <c r="K11" s="288"/>
      <c r="L11" s="9"/>
      <c r="M11" s="9"/>
      <c r="N11" s="9"/>
      <c r="O11" s="9"/>
      <c r="P11" s="9"/>
    </row>
    <row r="12" spans="1:16" ht="15" customHeight="1" x14ac:dyDescent="0.25">
      <c r="A12" s="288"/>
      <c r="B12" s="288"/>
      <c r="C12" s="288"/>
      <c r="D12" s="288"/>
      <c r="E12" s="288"/>
      <c r="F12" s="288"/>
      <c r="G12" s="288"/>
      <c r="H12" s="288"/>
      <c r="I12" s="288"/>
      <c r="J12" s="288"/>
      <c r="K12" s="288"/>
      <c r="L12" s="9"/>
      <c r="M12" s="9"/>
      <c r="N12" s="9"/>
      <c r="O12" s="9"/>
      <c r="P12" s="9"/>
    </row>
    <row r="13" spans="1:16" x14ac:dyDescent="0.25">
      <c r="A13" s="288"/>
      <c r="B13" s="288" t="s">
        <v>2233</v>
      </c>
      <c r="C13" s="288"/>
      <c r="D13" s="288"/>
      <c r="E13" s="288"/>
      <c r="F13" s="288"/>
      <c r="G13" s="288"/>
      <c r="H13" s="288"/>
      <c r="I13" s="288"/>
      <c r="J13" s="288"/>
      <c r="K13" s="288"/>
      <c r="L13" s="9"/>
      <c r="M13" s="9"/>
      <c r="N13" s="9"/>
      <c r="O13" s="9"/>
      <c r="P13" s="9"/>
    </row>
    <row r="14" spans="1:16" ht="16.5" customHeight="1" x14ac:dyDescent="0.25">
      <c r="A14" s="288"/>
      <c r="B14" s="287">
        <v>1</v>
      </c>
      <c r="C14" s="1534" t="s">
        <v>1782</v>
      </c>
      <c r="D14" s="1535"/>
      <c r="E14" s="1535"/>
      <c r="F14" s="1535"/>
      <c r="G14" s="1535"/>
      <c r="H14" s="1535"/>
      <c r="I14" s="1535"/>
      <c r="J14" s="1535"/>
      <c r="K14" s="1536"/>
      <c r="L14" s="1537" t="s">
        <v>281</v>
      </c>
      <c r="M14" s="1537"/>
      <c r="N14" s="9"/>
      <c r="O14" s="9"/>
      <c r="P14" s="9"/>
    </row>
    <row r="15" spans="1:16" ht="16.5" customHeight="1" x14ac:dyDescent="0.25">
      <c r="A15" s="288"/>
      <c r="B15" s="287">
        <v>2</v>
      </c>
      <c r="C15" s="1534" t="s">
        <v>1785</v>
      </c>
      <c r="D15" s="1535"/>
      <c r="E15" s="1535"/>
      <c r="F15" s="1535"/>
      <c r="G15" s="1535"/>
      <c r="H15" s="1535"/>
      <c r="I15" s="1535"/>
      <c r="J15" s="1535"/>
      <c r="K15" s="1536"/>
      <c r="L15" s="1537" t="s">
        <v>281</v>
      </c>
      <c r="M15" s="1537"/>
      <c r="N15" s="9"/>
      <c r="O15" s="9"/>
      <c r="P15" s="9"/>
    </row>
    <row r="16" spans="1:16" ht="30" customHeight="1" x14ac:dyDescent="0.25">
      <c r="A16" s="288"/>
      <c r="B16" s="287">
        <v>3</v>
      </c>
      <c r="C16" s="1539" t="s">
        <v>1783</v>
      </c>
      <c r="D16" s="1540"/>
      <c r="E16" s="1540"/>
      <c r="F16" s="1540"/>
      <c r="G16" s="1540"/>
      <c r="H16" s="1540"/>
      <c r="I16" s="1540"/>
      <c r="J16" s="1540"/>
      <c r="K16" s="1541"/>
      <c r="L16" s="1537" t="s">
        <v>281</v>
      </c>
      <c r="M16" s="1537"/>
      <c r="N16" s="9"/>
      <c r="O16" s="9"/>
      <c r="P16" s="9"/>
    </row>
    <row r="17" spans="1:16" ht="15" customHeight="1" x14ac:dyDescent="0.25">
      <c r="A17" s="288"/>
      <c r="B17" s="288"/>
      <c r="C17" s="288"/>
      <c r="D17" s="288"/>
      <c r="E17" s="288"/>
      <c r="F17" s="288"/>
      <c r="G17" s="288"/>
      <c r="H17" s="288"/>
      <c r="I17" s="288"/>
      <c r="J17" s="288"/>
      <c r="K17" s="288"/>
      <c r="L17" s="9"/>
      <c r="M17" s="9"/>
      <c r="N17" s="9"/>
      <c r="O17" s="9"/>
      <c r="P17" s="9"/>
    </row>
    <row r="18" spans="1:16" ht="18" customHeight="1" x14ac:dyDescent="0.25">
      <c r="A18" s="288"/>
      <c r="B18" s="288" t="s">
        <v>1789</v>
      </c>
      <c r="C18" s="288"/>
      <c r="D18" s="288"/>
      <c r="E18" s="288"/>
      <c r="F18" s="288"/>
      <c r="G18" s="288"/>
      <c r="H18" s="288"/>
      <c r="I18" s="288"/>
      <c r="J18" s="288"/>
      <c r="K18" s="288"/>
      <c r="L18" s="9"/>
      <c r="M18" s="9"/>
      <c r="N18" s="9"/>
      <c r="O18" s="9"/>
      <c r="P18" s="9"/>
    </row>
    <row r="19" spans="1:16" ht="18" customHeight="1" x14ac:dyDescent="0.25">
      <c r="A19" s="288"/>
      <c r="B19" s="287">
        <v>1</v>
      </c>
      <c r="C19" s="1539" t="s">
        <v>695</v>
      </c>
      <c r="D19" s="1540"/>
      <c r="E19" s="1540"/>
      <c r="F19" s="1540"/>
      <c r="G19" s="1540"/>
      <c r="H19" s="1540"/>
      <c r="I19" s="1540"/>
      <c r="J19" s="1540"/>
      <c r="K19" s="1541"/>
      <c r="L19" s="1537" t="s">
        <v>281</v>
      </c>
      <c r="M19" s="1537"/>
      <c r="N19" s="9"/>
      <c r="O19" s="9"/>
      <c r="P19" s="9"/>
    </row>
    <row r="20" spans="1:16" ht="18" customHeight="1" x14ac:dyDescent="0.25">
      <c r="A20" s="288"/>
      <c r="B20" s="287">
        <v>2</v>
      </c>
      <c r="C20" s="1539" t="s">
        <v>696</v>
      </c>
      <c r="D20" s="1540"/>
      <c r="E20" s="1540"/>
      <c r="F20" s="1540"/>
      <c r="G20" s="1540"/>
      <c r="H20" s="1540"/>
      <c r="I20" s="1540"/>
      <c r="J20" s="1540"/>
      <c r="K20" s="1541"/>
      <c r="L20" s="1537" t="s">
        <v>281</v>
      </c>
      <c r="M20" s="1537"/>
      <c r="N20" s="9"/>
      <c r="O20" s="9"/>
      <c r="P20" s="9"/>
    </row>
    <row r="21" spans="1:16" ht="18" customHeight="1" x14ac:dyDescent="0.25">
      <c r="A21" s="288"/>
      <c r="B21" s="288"/>
      <c r="C21" s="288"/>
      <c r="D21" s="288"/>
      <c r="E21" s="288"/>
      <c r="F21" s="288"/>
      <c r="G21" s="288"/>
      <c r="H21" s="288"/>
      <c r="I21" s="288"/>
      <c r="J21" s="288"/>
      <c r="K21" s="288"/>
      <c r="L21" s="9"/>
      <c r="M21" s="9"/>
      <c r="N21" s="9"/>
      <c r="O21" s="9"/>
      <c r="P21" s="9"/>
    </row>
    <row r="22" spans="1:16" ht="18" customHeight="1" x14ac:dyDescent="0.25">
      <c r="A22" s="1368" t="s">
        <v>282</v>
      </c>
      <c r="B22" s="1368"/>
      <c r="C22" s="1368"/>
      <c r="D22" s="1368"/>
      <c r="E22" s="288"/>
      <c r="F22" s="288"/>
      <c r="G22" s="288"/>
      <c r="H22" s="288"/>
      <c r="I22" s="288"/>
      <c r="J22" s="288"/>
      <c r="K22" s="288"/>
      <c r="L22" s="9"/>
      <c r="M22" s="9"/>
      <c r="N22" s="9"/>
      <c r="O22" s="9"/>
      <c r="P22" s="9"/>
    </row>
    <row r="23" spans="1:16" ht="12" customHeight="1" x14ac:dyDescent="0.25">
      <c r="A23" s="288"/>
      <c r="B23" s="288"/>
      <c r="C23" s="288"/>
      <c r="D23" s="288"/>
      <c r="E23" s="288"/>
      <c r="F23" s="288"/>
      <c r="G23" s="288"/>
      <c r="H23" s="288"/>
      <c r="I23" s="288"/>
      <c r="J23" s="288"/>
      <c r="K23" s="288"/>
      <c r="L23" s="9"/>
      <c r="M23" s="9"/>
      <c r="N23" s="9"/>
      <c r="O23" s="9"/>
      <c r="P23" s="9"/>
    </row>
    <row r="24" spans="1:16" ht="18" customHeight="1" x14ac:dyDescent="0.25">
      <c r="A24" s="288"/>
      <c r="B24" s="288" t="s">
        <v>283</v>
      </c>
      <c r="C24" s="288"/>
      <c r="D24" s="288"/>
      <c r="E24" s="288"/>
      <c r="F24" s="288"/>
      <c r="G24" s="288"/>
      <c r="H24" s="288"/>
      <c r="I24" s="288"/>
      <c r="J24" s="288"/>
      <c r="K24" s="288"/>
      <c r="L24" s="9"/>
      <c r="M24" s="9"/>
      <c r="N24" s="9"/>
      <c r="O24" s="9"/>
      <c r="P24" s="9"/>
    </row>
    <row r="25" spans="1:16" ht="18" customHeight="1" x14ac:dyDescent="0.25">
      <c r="A25" s="288"/>
      <c r="B25" s="287">
        <v>1</v>
      </c>
      <c r="C25" s="1538" t="s">
        <v>1786</v>
      </c>
      <c r="D25" s="1538"/>
      <c r="E25" s="1538"/>
      <c r="F25" s="1538"/>
      <c r="G25" s="1538"/>
      <c r="H25" s="1538"/>
      <c r="I25" s="1538"/>
      <c r="J25" s="1538"/>
      <c r="K25" s="1538"/>
      <c r="L25" s="1537" t="s">
        <v>281</v>
      </c>
      <c r="M25" s="1537"/>
      <c r="N25" s="9"/>
      <c r="O25" s="9"/>
      <c r="P25" s="9"/>
    </row>
    <row r="26" spans="1:16" ht="18" customHeight="1" x14ac:dyDescent="0.25">
      <c r="A26" s="288"/>
      <c r="B26" s="287">
        <v>2</v>
      </c>
      <c r="C26" s="1538" t="s">
        <v>284</v>
      </c>
      <c r="D26" s="1538"/>
      <c r="E26" s="1538"/>
      <c r="F26" s="1538"/>
      <c r="G26" s="1538"/>
      <c r="H26" s="1538"/>
      <c r="I26" s="1538"/>
      <c r="J26" s="1538"/>
      <c r="K26" s="1538"/>
      <c r="L26" s="1537" t="s">
        <v>281</v>
      </c>
      <c r="M26" s="1537"/>
      <c r="N26" s="9"/>
      <c r="O26" s="9"/>
      <c r="P26" s="9"/>
    </row>
    <row r="27" spans="1:16" ht="18" customHeight="1" x14ac:dyDescent="0.25">
      <c r="A27" s="288"/>
      <c r="B27" s="287">
        <v>3</v>
      </c>
      <c r="C27" s="1538" t="s">
        <v>697</v>
      </c>
      <c r="D27" s="1538"/>
      <c r="E27" s="1538"/>
      <c r="F27" s="1538"/>
      <c r="G27" s="1538"/>
      <c r="H27" s="1538"/>
      <c r="I27" s="1538"/>
      <c r="J27" s="1538"/>
      <c r="K27" s="1538"/>
      <c r="L27" s="1537" t="s">
        <v>281</v>
      </c>
      <c r="M27" s="1537"/>
      <c r="N27" s="9"/>
      <c r="O27" s="9"/>
      <c r="P27" s="9"/>
    </row>
    <row r="28" spans="1:16" ht="18" customHeight="1" x14ac:dyDescent="0.25">
      <c r="A28" s="288"/>
      <c r="B28" s="287">
        <v>4</v>
      </c>
      <c r="C28" s="1538" t="s">
        <v>698</v>
      </c>
      <c r="D28" s="1538"/>
      <c r="E28" s="1538"/>
      <c r="F28" s="1538"/>
      <c r="G28" s="1538"/>
      <c r="H28" s="1538"/>
      <c r="I28" s="1538"/>
      <c r="J28" s="1538"/>
      <c r="K28" s="1538"/>
      <c r="L28" s="1537" t="s">
        <v>281</v>
      </c>
      <c r="M28" s="1537"/>
      <c r="N28" s="9"/>
      <c r="O28" s="9"/>
      <c r="P28" s="9"/>
    </row>
    <row r="29" spans="1:16" ht="27.75" customHeight="1" x14ac:dyDescent="0.25">
      <c r="A29" s="288"/>
      <c r="B29" s="287">
        <v>5</v>
      </c>
      <c r="C29" s="1538" t="s">
        <v>1788</v>
      </c>
      <c r="D29" s="1538"/>
      <c r="E29" s="1538"/>
      <c r="F29" s="1538"/>
      <c r="G29" s="1538"/>
      <c r="H29" s="1538"/>
      <c r="I29" s="1538"/>
      <c r="J29" s="1538"/>
      <c r="K29" s="1538"/>
      <c r="L29" s="1537" t="s">
        <v>281</v>
      </c>
      <c r="M29" s="1537"/>
      <c r="N29" s="9"/>
      <c r="O29" s="9"/>
      <c r="P29" s="9"/>
    </row>
    <row r="30" spans="1:16" ht="18" customHeight="1" x14ac:dyDescent="0.25">
      <c r="A30" s="288"/>
      <c r="B30" s="288"/>
      <c r="C30" s="288"/>
      <c r="D30" s="288"/>
      <c r="E30" s="288"/>
      <c r="F30" s="288"/>
      <c r="G30" s="288"/>
      <c r="H30" s="288"/>
      <c r="I30" s="288"/>
      <c r="J30" s="288"/>
      <c r="K30" s="288"/>
      <c r="L30" s="9"/>
      <c r="M30" s="9"/>
      <c r="N30" s="9"/>
      <c r="O30" s="9"/>
      <c r="P30" s="9"/>
    </row>
    <row r="31" spans="1:16" ht="18" customHeight="1" x14ac:dyDescent="0.25">
      <c r="A31" s="1368" t="s">
        <v>280</v>
      </c>
      <c r="B31" s="1368"/>
      <c r="C31" s="1368"/>
      <c r="D31" s="1368"/>
      <c r="E31" s="288"/>
      <c r="F31" s="288"/>
      <c r="G31" s="288"/>
      <c r="H31" s="288"/>
      <c r="I31" s="288"/>
      <c r="J31" s="288"/>
      <c r="K31" s="288"/>
      <c r="L31" s="9"/>
      <c r="M31" s="9"/>
      <c r="N31" s="9"/>
      <c r="O31" s="9"/>
      <c r="P31" s="9"/>
    </row>
    <row r="32" spans="1:16" x14ac:dyDescent="0.25">
      <c r="A32" s="288"/>
      <c r="B32" s="288"/>
      <c r="C32" s="288"/>
      <c r="D32" s="288"/>
      <c r="E32" s="288"/>
      <c r="F32" s="288"/>
      <c r="G32" s="288"/>
      <c r="H32" s="288"/>
      <c r="I32" s="288"/>
      <c r="J32" s="288"/>
      <c r="K32" s="288"/>
      <c r="L32" s="9"/>
      <c r="M32" s="9"/>
      <c r="N32" s="9"/>
      <c r="O32" s="9"/>
      <c r="P32" s="9"/>
    </row>
    <row r="33" spans="1:16" ht="16.5" customHeight="1" x14ac:dyDescent="0.25">
      <c r="A33" s="288"/>
      <c r="B33" s="287">
        <v>1</v>
      </c>
      <c r="C33" s="1534" t="s">
        <v>1784</v>
      </c>
      <c r="D33" s="1535"/>
      <c r="E33" s="1535"/>
      <c r="F33" s="1535"/>
      <c r="G33" s="1535"/>
      <c r="H33" s="1535"/>
      <c r="I33" s="1535"/>
      <c r="J33" s="1535"/>
      <c r="K33" s="1536"/>
      <c r="L33" s="1537" t="s">
        <v>281</v>
      </c>
      <c r="M33" s="1537"/>
      <c r="N33" s="9"/>
      <c r="O33" s="9"/>
      <c r="P33" s="9"/>
    </row>
    <row r="34" spans="1:16" ht="18" customHeight="1" x14ac:dyDescent="0.25">
      <c r="A34" s="288"/>
      <c r="B34" s="287">
        <v>2</v>
      </c>
      <c r="C34" s="1534" t="s">
        <v>285</v>
      </c>
      <c r="D34" s="1535"/>
      <c r="E34" s="1535"/>
      <c r="F34" s="1535"/>
      <c r="G34" s="1535"/>
      <c r="H34" s="1535"/>
      <c r="I34" s="1535"/>
      <c r="J34" s="1535"/>
      <c r="K34" s="1536"/>
      <c r="L34" s="1537" t="s">
        <v>281</v>
      </c>
      <c r="M34" s="1537"/>
      <c r="N34" s="9"/>
      <c r="O34" s="9"/>
      <c r="P34" s="9"/>
    </row>
    <row r="35" spans="1:16" ht="39" customHeight="1" x14ac:dyDescent="0.25">
      <c r="A35" s="288"/>
      <c r="B35" s="287">
        <v>3</v>
      </c>
      <c r="C35" s="1538" t="s">
        <v>2232</v>
      </c>
      <c r="D35" s="1538"/>
      <c r="E35" s="1538"/>
      <c r="F35" s="1538"/>
      <c r="G35" s="1538"/>
      <c r="H35" s="1538"/>
      <c r="I35" s="1538"/>
      <c r="J35" s="1538"/>
      <c r="K35" s="1538"/>
      <c r="L35" s="1537" t="s">
        <v>281</v>
      </c>
      <c r="M35" s="1537"/>
      <c r="N35" s="9"/>
      <c r="O35" s="9"/>
      <c r="P35" s="9"/>
    </row>
    <row r="36" spans="1:16" x14ac:dyDescent="0.25">
      <c r="A36" s="288"/>
      <c r="B36" s="288"/>
      <c r="C36" s="288"/>
      <c r="D36" s="288"/>
      <c r="E36" s="288"/>
      <c r="F36" s="288"/>
      <c r="G36" s="288"/>
      <c r="H36" s="288"/>
      <c r="I36" s="288"/>
      <c r="J36" s="288"/>
      <c r="K36" s="288"/>
      <c r="L36" s="9"/>
      <c r="M36" s="9"/>
      <c r="N36" s="9"/>
      <c r="O36" s="9"/>
      <c r="P36" s="9"/>
    </row>
    <row r="37" spans="1:16" x14ac:dyDescent="0.25">
      <c r="A37" s="288"/>
      <c r="B37" s="288"/>
      <c r="C37" s="288"/>
      <c r="D37" s="288"/>
      <c r="E37" s="288"/>
      <c r="F37" s="288"/>
      <c r="G37" s="288"/>
      <c r="H37" s="288"/>
      <c r="I37" s="288"/>
      <c r="J37" s="288"/>
      <c r="K37" s="288"/>
      <c r="L37" s="9"/>
      <c r="M37" s="9"/>
      <c r="N37" s="9"/>
      <c r="O37" s="9"/>
      <c r="P37" s="9"/>
    </row>
    <row r="38" spans="1:16" hidden="1" x14ac:dyDescent="0.25">
      <c r="B38" s="288"/>
      <c r="C38" s="288"/>
      <c r="D38" s="288"/>
      <c r="E38" s="288"/>
      <c r="F38" s="288"/>
      <c r="G38" s="288"/>
      <c r="H38" s="288"/>
      <c r="I38" s="288"/>
      <c r="J38" s="288"/>
      <c r="K38" s="288"/>
      <c r="L38" s="9"/>
      <c r="M38" s="9"/>
      <c r="N38" s="9"/>
      <c r="O38" s="9"/>
      <c r="P38" s="9"/>
    </row>
    <row r="39" spans="1:16" hidden="1" x14ac:dyDescent="0.25">
      <c r="B39" s="288"/>
      <c r="C39" s="288"/>
      <c r="D39" s="288"/>
      <c r="E39" s="288"/>
      <c r="F39" s="288"/>
      <c r="G39" s="288"/>
      <c r="H39" s="288"/>
      <c r="I39" s="288"/>
      <c r="J39" s="288"/>
      <c r="K39" s="288"/>
      <c r="L39" s="9"/>
      <c r="M39" s="9"/>
      <c r="N39" s="9"/>
      <c r="O39" s="9"/>
      <c r="P39" s="9"/>
    </row>
    <row r="40" spans="1:16" hidden="1" x14ac:dyDescent="0.25">
      <c r="B40" s="14"/>
      <c r="C40" s="14"/>
      <c r="D40" s="14"/>
      <c r="E40" s="14"/>
      <c r="F40" s="14"/>
      <c r="G40" s="14"/>
      <c r="H40" s="14"/>
      <c r="I40" s="14"/>
      <c r="J40" s="14"/>
      <c r="K40" s="14"/>
      <c r="L40" s="10"/>
      <c r="M40" s="10"/>
      <c r="N40" s="10"/>
      <c r="O40" s="10"/>
      <c r="P40" s="10"/>
    </row>
    <row r="41" spans="1:16" hidden="1" x14ac:dyDescent="0.25">
      <c r="B41" s="14"/>
      <c r="C41" s="14"/>
      <c r="D41" s="14"/>
      <c r="E41" s="14"/>
      <c r="F41" s="14"/>
      <c r="G41" s="14"/>
      <c r="H41" s="14"/>
      <c r="I41" s="14"/>
      <c r="J41" s="14"/>
      <c r="K41" s="14"/>
      <c r="L41" s="10"/>
      <c r="M41" s="10"/>
      <c r="N41" s="10"/>
      <c r="O41" s="10"/>
      <c r="P41" s="10"/>
    </row>
    <row r="42" spans="1:16" hidden="1" x14ac:dyDescent="0.25">
      <c r="B42" s="10"/>
      <c r="C42" s="10"/>
      <c r="D42" s="10"/>
      <c r="E42" s="10"/>
      <c r="F42" s="10"/>
      <c r="G42" s="10"/>
      <c r="H42" s="10"/>
      <c r="I42" s="10"/>
      <c r="J42" s="10"/>
      <c r="K42" s="10"/>
      <c r="L42" s="10"/>
      <c r="M42" s="10"/>
      <c r="N42" s="10"/>
      <c r="O42" s="10"/>
      <c r="P42" s="10"/>
    </row>
    <row r="43" spans="1:16" hidden="1" x14ac:dyDescent="0.25">
      <c r="B43" s="10"/>
      <c r="C43" s="10"/>
      <c r="D43" s="10"/>
      <c r="E43" s="10"/>
      <c r="F43" s="10"/>
      <c r="G43" s="10"/>
      <c r="H43" s="10"/>
      <c r="I43" s="10"/>
      <c r="J43" s="10"/>
      <c r="K43" s="10"/>
      <c r="L43" s="10"/>
      <c r="M43" s="10"/>
      <c r="N43" s="10"/>
      <c r="O43" s="10"/>
      <c r="P43" s="10"/>
    </row>
    <row r="44" spans="1:16" hidden="1" x14ac:dyDescent="0.25">
      <c r="B44" s="10"/>
      <c r="C44" s="10"/>
      <c r="D44" s="10"/>
      <c r="E44" s="10"/>
      <c r="F44" s="10"/>
      <c r="G44" s="10"/>
      <c r="H44" s="10"/>
      <c r="I44" s="10"/>
      <c r="J44" s="10"/>
      <c r="K44" s="10"/>
      <c r="L44" s="10"/>
      <c r="M44" s="10"/>
      <c r="N44" s="10"/>
      <c r="O44" s="10"/>
      <c r="P44" s="10"/>
    </row>
    <row r="45" spans="1:16" hidden="1" x14ac:dyDescent="0.25">
      <c r="B45" s="10"/>
      <c r="C45" s="10"/>
      <c r="D45" s="10"/>
      <c r="E45" s="10"/>
      <c r="F45" s="10"/>
      <c r="G45" s="10"/>
      <c r="H45" s="10"/>
      <c r="I45" s="10"/>
      <c r="J45" s="10"/>
      <c r="K45" s="10"/>
      <c r="L45" s="10"/>
      <c r="M45" s="10"/>
      <c r="N45" s="10"/>
      <c r="O45" s="10"/>
      <c r="P45" s="10"/>
    </row>
    <row r="46" spans="1:16" hidden="1" x14ac:dyDescent="0.25">
      <c r="B46" s="10"/>
      <c r="C46" s="10"/>
      <c r="D46" s="10"/>
      <c r="E46" s="10"/>
      <c r="F46" s="10"/>
      <c r="G46" s="10"/>
      <c r="H46" s="10"/>
      <c r="I46" s="10"/>
      <c r="J46" s="10"/>
      <c r="K46" s="10"/>
      <c r="L46" s="10"/>
      <c r="M46" s="10"/>
      <c r="N46" s="10"/>
      <c r="O46" s="10"/>
      <c r="P46" s="10"/>
    </row>
    <row r="47" spans="1:16" hidden="1" x14ac:dyDescent="0.25">
      <c r="B47" s="10"/>
      <c r="C47" s="10"/>
      <c r="D47" s="10"/>
      <c r="E47" s="10"/>
      <c r="F47" s="10"/>
      <c r="G47" s="10"/>
      <c r="H47" s="10"/>
      <c r="I47" s="10"/>
      <c r="J47" s="10"/>
      <c r="K47" s="10"/>
      <c r="L47" s="10"/>
      <c r="M47" s="10"/>
      <c r="N47" s="10"/>
      <c r="O47" s="10"/>
      <c r="P47" s="10"/>
    </row>
    <row r="48" spans="1:16" hidden="1" x14ac:dyDescent="0.25"/>
    <row r="49" ht="15" hidden="1" customHeight="1" x14ac:dyDescent="0.25"/>
    <row r="50" ht="15" hidden="1" customHeight="1" x14ac:dyDescent="0.25"/>
  </sheetData>
  <sheetProtection algorithmName="SHA-512" hashValue="tftkLQX+1BvKcC+C55oGiwM8bIEV9hhprPeeJJFTZpp6ffyQfl1ljrLJbUopP3Cf1L9rZD3zSdkilBIMTCzpgQ==" saltValue="p8uOQpfqTfPjgKsy8dHufg==" spinCount="100000" sheet="1" objects="1" scenarios="1"/>
  <mergeCells count="38">
    <mergeCell ref="A1:P1"/>
    <mergeCell ref="C34:K34"/>
    <mergeCell ref="L34:M34"/>
    <mergeCell ref="C16:K16"/>
    <mergeCell ref="L16:M16"/>
    <mergeCell ref="C19:K19"/>
    <mergeCell ref="L19:M19"/>
    <mergeCell ref="A2:P3"/>
    <mergeCell ref="A22:D22"/>
    <mergeCell ref="C9:K9"/>
    <mergeCell ref="L9:M9"/>
    <mergeCell ref="C14:K14"/>
    <mergeCell ref="L14:M14"/>
    <mergeCell ref="C15:K15"/>
    <mergeCell ref="L15:M15"/>
    <mergeCell ref="A11:D11"/>
    <mergeCell ref="C35:K35"/>
    <mergeCell ref="L35:M35"/>
    <mergeCell ref="C26:K26"/>
    <mergeCell ref="L26:M26"/>
    <mergeCell ref="C27:K27"/>
    <mergeCell ref="L27:M27"/>
    <mergeCell ref="A31:D31"/>
    <mergeCell ref="C33:K33"/>
    <mergeCell ref="C29:K29"/>
    <mergeCell ref="L29:M29"/>
    <mergeCell ref="C28:K28"/>
    <mergeCell ref="L33:M33"/>
    <mergeCell ref="L28:M28"/>
    <mergeCell ref="A5:D5"/>
    <mergeCell ref="C20:K20"/>
    <mergeCell ref="L20:M20"/>
    <mergeCell ref="C25:K25"/>
    <mergeCell ref="L25:M25"/>
    <mergeCell ref="C7:K7"/>
    <mergeCell ref="L7:M7"/>
    <mergeCell ref="C8:K8"/>
    <mergeCell ref="L8:M8"/>
  </mergeCells>
  <dataValidations count="1">
    <dataValidation type="list" allowBlank="1" showInputMessage="1" showErrorMessage="1" sqref="L19:M20 L33:M35 L7:M9 L14:M16 L25:M29">
      <formula1>"Please confirm,Yes,No"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44"/>
  <sheetViews>
    <sheetView showRowColHeaders="0" zoomScale="90" zoomScaleNormal="90" workbookViewId="0">
      <pane ySplit="3" topLeftCell="A4" activePane="bottomLeft" state="frozen"/>
      <selection pane="bottomLeft" activeCell="J2" sqref="J2"/>
    </sheetView>
  </sheetViews>
  <sheetFormatPr defaultColWidth="0" defaultRowHeight="15" zeroHeight="1" x14ac:dyDescent="0.25"/>
  <cols>
    <col min="1" max="1" width="1.7109375" style="37" customWidth="1"/>
    <col min="2" max="2" width="8" style="37" customWidth="1"/>
    <col min="3" max="4" width="13.28515625" style="37" customWidth="1"/>
    <col min="5" max="6" width="10.7109375" style="37" customWidth="1"/>
    <col min="7" max="7" width="4.7109375" style="37" customWidth="1"/>
    <col min="8" max="8" width="7.140625" style="37" customWidth="1"/>
    <col min="9" max="9" width="12.85546875" style="37" customWidth="1"/>
    <col min="10" max="10" width="13" style="37" customWidth="1"/>
    <col min="11" max="12" width="10.7109375" style="37" customWidth="1"/>
    <col min="13" max="13" width="4.7109375" style="37" customWidth="1"/>
    <col min="14" max="15" width="9.7109375" style="37" customWidth="1"/>
    <col min="16" max="17" width="10.42578125" style="37" customWidth="1"/>
    <col min="18" max="18" width="6.7109375" style="37" customWidth="1"/>
    <col min="19" max="20" width="9.7109375" style="37" customWidth="1"/>
    <col min="21" max="21" width="10.42578125" style="37" customWidth="1"/>
    <col min="22" max="22" width="4.85546875" style="37" customWidth="1"/>
    <col min="23" max="23" width="4.7109375" style="37" customWidth="1"/>
    <col min="24" max="27" width="0" style="37" hidden="1" customWidth="1"/>
    <col min="28" max="16384" width="9.140625" style="37" hidden="1"/>
  </cols>
  <sheetData>
    <row r="1" spans="1:23" ht="10.5" customHeight="1" x14ac:dyDescent="0.25">
      <c r="A1" s="1548" t="s">
        <v>2306</v>
      </c>
      <c r="B1" s="1548"/>
      <c r="C1" s="1548"/>
      <c r="D1" s="1548"/>
      <c r="E1" s="1548"/>
      <c r="F1" s="1548"/>
      <c r="G1" s="1548"/>
      <c r="H1" s="1548"/>
      <c r="I1" s="1548"/>
      <c r="J1" s="749"/>
      <c r="K1" s="749"/>
      <c r="L1" s="749"/>
      <c r="M1" s="749"/>
      <c r="N1" s="1545" t="s">
        <v>198</v>
      </c>
      <c r="O1" s="1545"/>
      <c r="P1" s="1545"/>
      <c r="Q1" s="1545"/>
      <c r="R1" s="1545"/>
      <c r="S1" s="1545"/>
      <c r="T1" s="1545"/>
      <c r="U1" s="1545"/>
      <c r="V1" s="1545"/>
      <c r="W1" s="750"/>
    </row>
    <row r="2" spans="1:23" ht="10.5" customHeight="1" x14ac:dyDescent="0.25">
      <c r="A2" s="1548"/>
      <c r="B2" s="1548"/>
      <c r="C2" s="1548"/>
      <c r="D2" s="1548"/>
      <c r="E2" s="1548"/>
      <c r="F2" s="1548"/>
      <c r="G2" s="1548"/>
      <c r="H2" s="1548"/>
      <c r="I2" s="1548"/>
      <c r="J2" s="749"/>
      <c r="K2" s="749"/>
      <c r="L2" s="749"/>
      <c r="M2" s="749"/>
      <c r="N2" s="1545"/>
      <c r="O2" s="1545"/>
      <c r="P2" s="1545"/>
      <c r="Q2" s="1545"/>
      <c r="R2" s="1545"/>
      <c r="S2" s="1545"/>
      <c r="T2" s="1545"/>
      <c r="U2" s="1545"/>
      <c r="V2" s="1545"/>
      <c r="W2" s="750"/>
    </row>
    <row r="3" spans="1:23" ht="10.5" customHeight="1" x14ac:dyDescent="0.25">
      <c r="A3" s="1548"/>
      <c r="B3" s="1548"/>
      <c r="C3" s="1548"/>
      <c r="D3" s="1548"/>
      <c r="E3" s="1548"/>
      <c r="F3" s="1548"/>
      <c r="G3" s="1548"/>
      <c r="H3" s="1548"/>
      <c r="I3" s="1548"/>
      <c r="J3" s="749"/>
      <c r="K3" s="749"/>
      <c r="L3" s="749"/>
      <c r="M3" s="749"/>
      <c r="N3" s="1545"/>
      <c r="O3" s="1545"/>
      <c r="P3" s="1545"/>
      <c r="Q3" s="1545"/>
      <c r="R3" s="1545"/>
      <c r="S3" s="1545"/>
      <c r="T3" s="1545"/>
      <c r="U3" s="1545"/>
      <c r="V3" s="1545"/>
      <c r="W3" s="750"/>
    </row>
    <row r="4" spans="1:23" ht="16.5" customHeight="1" x14ac:dyDescent="0.25">
      <c r="A4" s="18"/>
      <c r="B4" s="593"/>
      <c r="C4" s="594"/>
      <c r="D4" s="1055"/>
      <c r="E4" s="594"/>
      <c r="F4" s="594"/>
      <c r="G4" s="594"/>
      <c r="H4" s="595"/>
      <c r="I4" s="596"/>
      <c r="J4" s="595"/>
      <c r="K4" s="36"/>
      <c r="L4" s="36"/>
      <c r="M4" s="36"/>
      <c r="N4" s="18"/>
      <c r="O4" s="18"/>
      <c r="P4" s="18"/>
      <c r="Q4" s="18"/>
      <c r="R4" s="18"/>
      <c r="S4" s="18"/>
      <c r="T4" s="18"/>
      <c r="U4" s="18"/>
      <c r="V4" s="18"/>
      <c r="W4" s="22"/>
    </row>
    <row r="5" spans="1:23" ht="30" customHeight="1" x14ac:dyDescent="0.25">
      <c r="A5" s="1082"/>
      <c r="B5" s="1554" t="s">
        <v>420</v>
      </c>
      <c r="C5" s="1555"/>
      <c r="D5" s="1555"/>
      <c r="E5" s="1556" t="s">
        <v>360</v>
      </c>
      <c r="F5" s="1557"/>
      <c r="G5" s="24"/>
      <c r="H5" s="1551" t="s">
        <v>3</v>
      </c>
      <c r="I5" s="1552"/>
      <c r="J5" s="1552"/>
      <c r="K5" s="341" t="s">
        <v>102</v>
      </c>
      <c r="L5" s="342" t="s">
        <v>152</v>
      </c>
      <c r="M5" s="36"/>
      <c r="N5" s="36"/>
      <c r="O5" s="36"/>
      <c r="P5" s="36"/>
      <c r="Q5" s="36"/>
      <c r="R5" s="18"/>
      <c r="S5" s="22"/>
      <c r="T5" s="22"/>
      <c r="U5" s="22"/>
      <c r="V5" s="22"/>
      <c r="W5" s="22"/>
    </row>
    <row r="6" spans="1:23" ht="15" customHeight="1" x14ac:dyDescent="0.25">
      <c r="A6" s="19"/>
      <c r="B6" s="1083" t="s">
        <v>300</v>
      </c>
      <c r="C6" s="1567" t="s">
        <v>34</v>
      </c>
      <c r="D6" s="1567"/>
      <c r="E6" s="1568" t="str">
        <f>Water!G7</f>
        <v>No</v>
      </c>
      <c r="F6" s="1569"/>
      <c r="G6" s="24"/>
      <c r="H6" s="346" t="s">
        <v>30</v>
      </c>
      <c r="I6" s="1544" t="s">
        <v>31</v>
      </c>
      <c r="J6" s="1544"/>
      <c r="K6" s="334">
        <v>2</v>
      </c>
      <c r="L6" s="335">
        <f>'Health &amp; Comfort'!H9</f>
        <v>0</v>
      </c>
      <c r="M6" s="36"/>
      <c r="N6" s="36"/>
      <c r="O6" s="36"/>
      <c r="P6" s="36"/>
      <c r="Q6" s="36"/>
      <c r="R6" s="18"/>
      <c r="S6" s="22"/>
      <c r="T6" s="22"/>
      <c r="U6" s="22"/>
      <c r="V6" s="22"/>
      <c r="W6" s="22"/>
    </row>
    <row r="7" spans="1:23" x14ac:dyDescent="0.25">
      <c r="A7" s="19"/>
      <c r="B7" s="1084" t="s">
        <v>307</v>
      </c>
      <c r="C7" s="1570" t="s">
        <v>308</v>
      </c>
      <c r="D7" s="1570"/>
      <c r="E7" s="1594" t="str">
        <f>'Waste &amp; Pollution'!G5</f>
        <v>No</v>
      </c>
      <c r="F7" s="1572"/>
      <c r="G7" s="24"/>
      <c r="H7" s="329" t="s">
        <v>32</v>
      </c>
      <c r="I7" s="1546" t="s">
        <v>1208</v>
      </c>
      <c r="J7" s="1546"/>
      <c r="K7" s="319">
        <v>1</v>
      </c>
      <c r="L7" s="683">
        <f>'Health &amp; Comfort'!H10</f>
        <v>0</v>
      </c>
      <c r="M7" s="36"/>
      <c r="N7" s="36"/>
      <c r="O7" s="36"/>
      <c r="P7" s="36"/>
      <c r="Q7" s="36"/>
      <c r="R7" s="18"/>
      <c r="S7" s="22"/>
      <c r="T7" s="22"/>
      <c r="U7" s="22"/>
      <c r="V7" s="22"/>
      <c r="W7" s="22"/>
    </row>
    <row r="8" spans="1:23" x14ac:dyDescent="0.25">
      <c r="A8" s="19"/>
      <c r="B8" s="1084" t="s">
        <v>340</v>
      </c>
      <c r="C8" s="1570" t="s">
        <v>332</v>
      </c>
      <c r="D8" s="1570"/>
      <c r="E8" s="1571" t="str">
        <f>'Health &amp; Comfort'!G5</f>
        <v>No</v>
      </c>
      <c r="F8" s="1572"/>
      <c r="G8" s="24"/>
      <c r="H8" s="329" t="s">
        <v>35</v>
      </c>
      <c r="I8" s="1546" t="s">
        <v>1207</v>
      </c>
      <c r="J8" s="1546"/>
      <c r="K8" s="319">
        <v>4</v>
      </c>
      <c r="L8" s="683">
        <f>'Health &amp; Comfort'!H11</f>
        <v>0</v>
      </c>
      <c r="M8" s="36"/>
      <c r="N8" s="36"/>
      <c r="O8" s="36"/>
      <c r="P8" s="36"/>
      <c r="Q8" s="36"/>
      <c r="R8" s="18"/>
      <c r="S8" s="22"/>
      <c r="T8" s="22"/>
      <c r="U8" s="22"/>
      <c r="V8" s="22"/>
      <c r="W8" s="22"/>
    </row>
    <row r="9" spans="1:23" x14ac:dyDescent="0.25">
      <c r="A9" s="19"/>
      <c r="B9" s="1085" t="s">
        <v>344</v>
      </c>
      <c r="C9" s="1575" t="s">
        <v>320</v>
      </c>
      <c r="D9" s="1575"/>
      <c r="E9" s="1573" t="str">
        <f>'Location &amp; Transportation'!G5</f>
        <v>No</v>
      </c>
      <c r="F9" s="1574"/>
      <c r="G9" s="24"/>
      <c r="H9" s="1587" t="s">
        <v>37</v>
      </c>
      <c r="I9" s="1546" t="s">
        <v>333</v>
      </c>
      <c r="J9" s="1546"/>
      <c r="K9" s="1547">
        <v>1</v>
      </c>
      <c r="L9" s="1543">
        <f>'Health &amp; Comfort'!H12</f>
        <v>0</v>
      </c>
      <c r="M9" s="36"/>
      <c r="N9" s="36"/>
      <c r="O9" s="36"/>
      <c r="P9" s="36"/>
      <c r="Q9" s="36"/>
      <c r="R9" s="18"/>
      <c r="S9" s="22"/>
      <c r="T9" s="22"/>
      <c r="U9" s="22"/>
      <c r="V9" s="22"/>
      <c r="W9" s="22"/>
    </row>
    <row r="10" spans="1:23" ht="15" customHeight="1" x14ac:dyDescent="0.25">
      <c r="A10" s="19"/>
      <c r="B10" s="24"/>
      <c r="C10" s="24"/>
      <c r="D10" s="1086" t="s">
        <v>29</v>
      </c>
      <c r="E10" s="1584" t="str">
        <f>IF(COUNTIF(E6:F9,"No")&gt;0,"No","Yes")</f>
        <v>No</v>
      </c>
      <c r="F10" s="1585"/>
      <c r="G10" s="24"/>
      <c r="H10" s="1587"/>
      <c r="I10" s="1546"/>
      <c r="J10" s="1546"/>
      <c r="K10" s="1547"/>
      <c r="L10" s="1543"/>
      <c r="M10" s="36"/>
      <c r="N10" s="36"/>
      <c r="O10" s="36"/>
      <c r="P10" s="36"/>
      <c r="Q10" s="36"/>
      <c r="R10" s="18"/>
      <c r="S10" s="22"/>
      <c r="T10" s="22"/>
      <c r="U10" s="22"/>
      <c r="V10" s="22"/>
      <c r="W10" s="22"/>
    </row>
    <row r="11" spans="1:23" ht="15" customHeight="1" x14ac:dyDescent="0.25">
      <c r="A11" s="19"/>
      <c r="B11" s="24"/>
      <c r="C11" s="24"/>
      <c r="D11" s="24"/>
      <c r="E11" s="24"/>
      <c r="F11" s="24"/>
      <c r="G11" s="24"/>
      <c r="H11" s="329" t="s">
        <v>248</v>
      </c>
      <c r="I11" s="1546" t="s">
        <v>337</v>
      </c>
      <c r="J11" s="1546"/>
      <c r="K11" s="319">
        <v>1</v>
      </c>
      <c r="L11" s="336">
        <f>'Health &amp; Comfort'!H13</f>
        <v>0</v>
      </c>
      <c r="M11" s="36"/>
      <c r="N11" s="36"/>
      <c r="O11" s="36"/>
      <c r="P11" s="36"/>
      <c r="Q11" s="36"/>
      <c r="R11" s="18"/>
      <c r="S11" s="22"/>
      <c r="T11" s="22"/>
      <c r="U11" s="22"/>
      <c r="V11" s="22"/>
      <c r="W11" s="22"/>
    </row>
    <row r="12" spans="1:23" x14ac:dyDescent="0.25">
      <c r="A12" s="19"/>
      <c r="B12" s="1576" t="s">
        <v>20</v>
      </c>
      <c r="C12" s="1577"/>
      <c r="D12" s="1577"/>
      <c r="E12" s="1580" t="s">
        <v>102</v>
      </c>
      <c r="F12" s="1582" t="s">
        <v>152</v>
      </c>
      <c r="G12" s="19"/>
      <c r="H12" s="329" t="s">
        <v>313</v>
      </c>
      <c r="I12" s="1546" t="s">
        <v>338</v>
      </c>
      <c r="J12" s="1546"/>
      <c r="K12" s="319">
        <v>1</v>
      </c>
      <c r="L12" s="492">
        <f>'Health &amp; Comfort'!H14</f>
        <v>0</v>
      </c>
      <c r="M12" s="36"/>
      <c r="N12" s="36"/>
      <c r="O12" s="36"/>
      <c r="P12" s="36"/>
      <c r="Q12" s="36"/>
      <c r="R12" s="18"/>
      <c r="S12" s="22"/>
      <c r="T12" s="22"/>
      <c r="U12" s="22"/>
      <c r="V12" s="22"/>
      <c r="W12" s="22"/>
    </row>
    <row r="13" spans="1:23" ht="15" customHeight="1" x14ac:dyDescent="0.25">
      <c r="A13" s="19"/>
      <c r="B13" s="1578"/>
      <c r="C13" s="1579"/>
      <c r="D13" s="1579"/>
      <c r="E13" s="1581"/>
      <c r="F13" s="1583"/>
      <c r="G13" s="36"/>
      <c r="H13" s="329" t="s">
        <v>314</v>
      </c>
      <c r="I13" s="1546" t="s">
        <v>38</v>
      </c>
      <c r="J13" s="1546"/>
      <c r="K13" s="319">
        <v>2</v>
      </c>
      <c r="L13" s="492">
        <f>'Health &amp; Comfort'!H15</f>
        <v>0</v>
      </c>
      <c r="M13" s="36"/>
      <c r="N13" s="36"/>
      <c r="O13" s="36"/>
      <c r="P13" s="36"/>
      <c r="Q13" s="36"/>
      <c r="R13" s="18"/>
      <c r="S13" s="22"/>
      <c r="T13" s="22"/>
      <c r="U13" s="22"/>
      <c r="V13" s="22"/>
      <c r="W13" s="22"/>
    </row>
    <row r="14" spans="1:23" ht="15" customHeight="1" x14ac:dyDescent="0.25">
      <c r="A14" s="19"/>
      <c r="B14" s="333" t="s">
        <v>22</v>
      </c>
      <c r="C14" s="1544" t="s">
        <v>365</v>
      </c>
      <c r="D14" s="1544"/>
      <c r="E14" s="334">
        <v>6</v>
      </c>
      <c r="F14" s="335">
        <f>Energy!H6</f>
        <v>0</v>
      </c>
      <c r="G14" s="36"/>
      <c r="H14" s="329" t="s">
        <v>315</v>
      </c>
      <c r="I14" s="1546" t="s">
        <v>334</v>
      </c>
      <c r="J14" s="1546"/>
      <c r="K14" s="319">
        <v>2</v>
      </c>
      <c r="L14" s="492">
        <f>'Health &amp; Comfort'!H16</f>
        <v>0</v>
      </c>
      <c r="M14" s="36"/>
      <c r="N14" s="36"/>
      <c r="O14" s="36"/>
      <c r="P14" s="36"/>
      <c r="Q14" s="36"/>
      <c r="R14" s="18"/>
      <c r="S14" s="22"/>
      <c r="T14" s="22"/>
      <c r="U14" s="22"/>
      <c r="V14" s="22"/>
      <c r="W14" s="22"/>
    </row>
    <row r="15" spans="1:23" ht="15" customHeight="1" x14ac:dyDescent="0.25">
      <c r="A15" s="19"/>
      <c r="B15" s="328" t="s">
        <v>24</v>
      </c>
      <c r="C15" s="1546" t="s">
        <v>27</v>
      </c>
      <c r="D15" s="1546"/>
      <c r="E15" s="319">
        <v>6</v>
      </c>
      <c r="F15" s="336">
        <f>Energy!H7</f>
        <v>0</v>
      </c>
      <c r="G15" s="36"/>
      <c r="H15" s="329" t="s">
        <v>316</v>
      </c>
      <c r="I15" s="1546" t="s">
        <v>335</v>
      </c>
      <c r="J15" s="1546"/>
      <c r="K15" s="319">
        <v>2</v>
      </c>
      <c r="L15" s="492">
        <f>'Health &amp; Comfort'!H17</f>
        <v>0</v>
      </c>
      <c r="M15" s="36"/>
      <c r="N15" s="36"/>
      <c r="O15" s="36"/>
      <c r="P15" s="36"/>
      <c r="Q15" s="36"/>
      <c r="R15" s="18"/>
      <c r="S15" s="22"/>
      <c r="T15" s="22"/>
      <c r="U15" s="22"/>
      <c r="V15" s="22"/>
      <c r="W15" s="22"/>
    </row>
    <row r="16" spans="1:23" ht="15" customHeight="1" x14ac:dyDescent="0.25">
      <c r="A16" s="19"/>
      <c r="B16" s="328" t="s">
        <v>25</v>
      </c>
      <c r="C16" s="1546" t="s">
        <v>28</v>
      </c>
      <c r="D16" s="1546"/>
      <c r="E16" s="319">
        <v>4</v>
      </c>
      <c r="F16" s="618">
        <f ca="1">Energy!H8</f>
        <v>0</v>
      </c>
      <c r="G16" s="36"/>
      <c r="H16" s="329" t="s">
        <v>317</v>
      </c>
      <c r="I16" s="1546" t="s">
        <v>336</v>
      </c>
      <c r="J16" s="1546"/>
      <c r="K16" s="319">
        <v>2</v>
      </c>
      <c r="L16" s="492">
        <f>'Health &amp; Comfort'!H18</f>
        <v>0</v>
      </c>
      <c r="M16" s="36"/>
      <c r="N16" s="36"/>
      <c r="O16" s="36"/>
      <c r="P16" s="36"/>
      <c r="Q16" s="36"/>
      <c r="R16" s="18"/>
      <c r="S16" s="22"/>
      <c r="T16" s="22"/>
      <c r="U16" s="22"/>
      <c r="V16" s="22"/>
      <c r="W16" s="22"/>
    </row>
    <row r="17" spans="1:23" x14ac:dyDescent="0.25">
      <c r="A17" s="19"/>
      <c r="B17" s="337" t="s">
        <v>26</v>
      </c>
      <c r="C17" s="1553" t="s">
        <v>299</v>
      </c>
      <c r="D17" s="1553"/>
      <c r="E17" s="331">
        <v>2</v>
      </c>
      <c r="F17" s="618">
        <f>Energy!H9</f>
        <v>0</v>
      </c>
      <c r="G17" s="36"/>
      <c r="H17" s="329" t="s">
        <v>318</v>
      </c>
      <c r="I17" s="1546" t="s">
        <v>249</v>
      </c>
      <c r="J17" s="1546"/>
      <c r="K17" s="319">
        <v>1</v>
      </c>
      <c r="L17" s="492">
        <f>'Health &amp; Comfort'!H19</f>
        <v>0</v>
      </c>
      <c r="M17" s="36"/>
      <c r="N17" s="36"/>
      <c r="O17" s="36"/>
      <c r="P17" s="36"/>
      <c r="Q17" s="36"/>
      <c r="R17" s="18"/>
      <c r="S17" s="22"/>
      <c r="T17" s="22"/>
      <c r="U17" s="22"/>
      <c r="V17" s="22"/>
      <c r="W17" s="22"/>
    </row>
    <row r="18" spans="1:23" ht="15" customHeight="1" x14ac:dyDescent="0.25">
      <c r="A18" s="19"/>
      <c r="B18" s="19"/>
      <c r="C18" s="19"/>
      <c r="D18" s="332" t="s">
        <v>29</v>
      </c>
      <c r="E18" s="339">
        <f>SUM(E14:E17)</f>
        <v>18</v>
      </c>
      <c r="F18" s="340">
        <f ca="1">SUM(F14:F17)</f>
        <v>0</v>
      </c>
      <c r="G18" s="36"/>
      <c r="H18" s="330" t="s">
        <v>319</v>
      </c>
      <c r="I18" s="1553" t="s">
        <v>339</v>
      </c>
      <c r="J18" s="1553"/>
      <c r="K18" s="331">
        <v>1</v>
      </c>
      <c r="L18" s="492">
        <f>'Health &amp; Comfort'!H20</f>
        <v>0</v>
      </c>
      <c r="M18" s="36"/>
      <c r="N18" s="36"/>
      <c r="O18" s="36"/>
      <c r="P18" s="36"/>
      <c r="Q18" s="36"/>
      <c r="R18" s="18"/>
      <c r="S18" s="22"/>
      <c r="T18" s="22"/>
      <c r="U18" s="22"/>
      <c r="V18" s="22"/>
      <c r="W18" s="22"/>
    </row>
    <row r="19" spans="1:23" x14ac:dyDescent="0.25">
      <c r="A19" s="19"/>
      <c r="B19" s="19"/>
      <c r="C19" s="19"/>
      <c r="D19" s="19"/>
      <c r="E19" s="19"/>
      <c r="F19" s="19"/>
      <c r="G19" s="36"/>
      <c r="H19" s="36"/>
      <c r="I19" s="36"/>
      <c r="J19" s="332" t="s">
        <v>29</v>
      </c>
      <c r="K19" s="339">
        <f>SUM(K6:K18)</f>
        <v>20</v>
      </c>
      <c r="L19" s="340">
        <f>SUM(L6:L18)</f>
        <v>0</v>
      </c>
      <c r="M19" s="36"/>
      <c r="N19" s="36"/>
      <c r="O19" s="36"/>
      <c r="P19" s="36"/>
      <c r="Q19" s="36"/>
      <c r="R19" s="18"/>
      <c r="S19" s="22"/>
      <c r="T19" s="22"/>
      <c r="U19" s="22"/>
      <c r="V19" s="22"/>
      <c r="W19" s="22"/>
    </row>
    <row r="20" spans="1:23" ht="12" customHeight="1" x14ac:dyDescent="0.25">
      <c r="A20" s="19"/>
      <c r="B20" s="22"/>
      <c r="C20" s="22"/>
      <c r="D20" s="22"/>
      <c r="E20" s="22"/>
      <c r="F20" s="22"/>
      <c r="G20" s="36"/>
      <c r="H20" s="36"/>
      <c r="I20" s="36"/>
      <c r="J20" s="36"/>
      <c r="K20" s="36"/>
      <c r="L20" s="36"/>
      <c r="M20" s="36"/>
      <c r="N20" s="36"/>
      <c r="O20" s="36"/>
      <c r="P20" s="36"/>
      <c r="Q20" s="36"/>
      <c r="R20" s="18"/>
      <c r="S20" s="22"/>
      <c r="T20" s="22"/>
      <c r="U20" s="22"/>
      <c r="V20" s="22"/>
      <c r="W20" s="22"/>
    </row>
    <row r="21" spans="1:23" ht="24" x14ac:dyDescent="0.25">
      <c r="A21" s="19"/>
      <c r="B21" s="1595" t="s">
        <v>16</v>
      </c>
      <c r="C21" s="1596"/>
      <c r="D21" s="1596"/>
      <c r="E21" s="347" t="s">
        <v>102</v>
      </c>
      <c r="F21" s="348" t="s">
        <v>152</v>
      </c>
      <c r="G21" s="36"/>
      <c r="H21" s="1549" t="s">
        <v>301</v>
      </c>
      <c r="I21" s="1550"/>
      <c r="J21" s="1550"/>
      <c r="K21" s="349" t="s">
        <v>102</v>
      </c>
      <c r="L21" s="350" t="s">
        <v>152</v>
      </c>
      <c r="M21" s="36"/>
      <c r="N21" s="36"/>
      <c r="O21" s="36"/>
      <c r="P21" s="36"/>
      <c r="Q21" s="36"/>
      <c r="R21" s="18"/>
      <c r="S21" s="22"/>
      <c r="T21" s="22"/>
      <c r="U21" s="22"/>
      <c r="V21" s="22"/>
      <c r="W21" s="22"/>
    </row>
    <row r="22" spans="1:23" ht="15" customHeight="1" x14ac:dyDescent="0.25">
      <c r="A22" s="19"/>
      <c r="B22" s="333" t="s">
        <v>33</v>
      </c>
      <c r="C22" s="1544" t="s">
        <v>34</v>
      </c>
      <c r="D22" s="1544"/>
      <c r="E22" s="334">
        <v>5</v>
      </c>
      <c r="F22" s="335">
        <f>Water!H11</f>
        <v>0</v>
      </c>
      <c r="G22" s="36"/>
      <c r="H22" s="346" t="s">
        <v>345</v>
      </c>
      <c r="I22" s="1544" t="s">
        <v>2032</v>
      </c>
      <c r="J22" s="1544"/>
      <c r="K22" s="334">
        <v>3</v>
      </c>
      <c r="L22" s="335">
        <f>'Location &amp; Transportation'!H9</f>
        <v>0</v>
      </c>
      <c r="M22" s="36"/>
      <c r="N22" s="22"/>
      <c r="O22" s="22"/>
      <c r="P22" s="22"/>
      <c r="Q22" s="22"/>
      <c r="R22" s="22"/>
      <c r="S22" s="22"/>
      <c r="T22" s="22"/>
      <c r="U22" s="22"/>
      <c r="V22" s="22"/>
      <c r="W22" s="22"/>
    </row>
    <row r="23" spans="1:23" ht="15" customHeight="1" x14ac:dyDescent="0.25">
      <c r="A23" s="19"/>
      <c r="B23" s="337" t="s">
        <v>36</v>
      </c>
      <c r="C23" s="1553" t="s">
        <v>76</v>
      </c>
      <c r="D23" s="1553"/>
      <c r="E23" s="331">
        <v>1</v>
      </c>
      <c r="F23" s="338">
        <f>Water!H12</f>
        <v>0</v>
      </c>
      <c r="G23" s="36"/>
      <c r="H23" s="329" t="s">
        <v>346</v>
      </c>
      <c r="I23" s="1546" t="s">
        <v>321</v>
      </c>
      <c r="J23" s="1546"/>
      <c r="K23" s="319">
        <v>1</v>
      </c>
      <c r="L23" s="336">
        <f>'Location &amp; Transportation'!H10</f>
        <v>0</v>
      </c>
      <c r="M23" s="36"/>
      <c r="N23" s="22"/>
      <c r="O23" s="22"/>
      <c r="P23" s="22"/>
      <c r="Q23" s="22"/>
      <c r="R23" s="22"/>
      <c r="S23" s="22"/>
      <c r="T23" s="22"/>
      <c r="U23" s="22"/>
      <c r="V23" s="22"/>
      <c r="W23" s="22"/>
    </row>
    <row r="24" spans="1:23" ht="15" customHeight="1" x14ac:dyDescent="0.25">
      <c r="A24" s="19"/>
      <c r="B24" s="19"/>
      <c r="C24" s="19"/>
      <c r="D24" s="332" t="s">
        <v>29</v>
      </c>
      <c r="E24" s="339">
        <f>SUM(E22:E23)</f>
        <v>6</v>
      </c>
      <c r="F24" s="340">
        <f>SUM(F22:F23)</f>
        <v>0</v>
      </c>
      <c r="G24" s="36"/>
      <c r="H24" s="329" t="s">
        <v>347</v>
      </c>
      <c r="I24" s="1546" t="s">
        <v>320</v>
      </c>
      <c r="J24" s="1546"/>
      <c r="K24" s="319">
        <v>3</v>
      </c>
      <c r="L24" s="336">
        <f>'Location &amp; Transportation'!H11</f>
        <v>0</v>
      </c>
      <c r="M24" s="36"/>
      <c r="N24" s="22"/>
      <c r="O24" s="22"/>
      <c r="P24" s="22"/>
      <c r="Q24" s="22"/>
      <c r="R24" s="22"/>
      <c r="S24" s="22"/>
      <c r="T24" s="22"/>
      <c r="U24" s="22"/>
      <c r="V24" s="22"/>
      <c r="W24" s="22"/>
    </row>
    <row r="25" spans="1:23" ht="15" customHeight="1" x14ac:dyDescent="0.25">
      <c r="A25" s="19"/>
      <c r="B25" s="19"/>
      <c r="C25" s="19"/>
      <c r="D25" s="19"/>
      <c r="E25" s="19"/>
      <c r="F25" s="19"/>
      <c r="G25" s="22"/>
      <c r="H25" s="330" t="s">
        <v>348</v>
      </c>
      <c r="I25" s="1553" t="s">
        <v>341</v>
      </c>
      <c r="J25" s="1553"/>
      <c r="K25" s="331">
        <v>1</v>
      </c>
      <c r="L25" s="338">
        <f>'Location &amp; Transportation'!H12</f>
        <v>0</v>
      </c>
      <c r="M25" s="36"/>
      <c r="N25" s="33"/>
      <c r="O25" s="33"/>
      <c r="P25" s="33"/>
      <c r="Q25" s="33"/>
      <c r="R25" s="33"/>
      <c r="S25" s="33"/>
      <c r="T25" s="22"/>
      <c r="U25" s="22"/>
      <c r="V25" s="22"/>
      <c r="W25" s="22"/>
    </row>
    <row r="26" spans="1:23" x14ac:dyDescent="0.25">
      <c r="A26" s="19"/>
      <c r="B26" s="19"/>
      <c r="C26" s="19"/>
      <c r="D26" s="19"/>
      <c r="E26" s="19"/>
      <c r="F26" s="19"/>
      <c r="G26" s="22"/>
      <c r="H26" s="18"/>
      <c r="I26" s="18"/>
      <c r="J26" s="332" t="s">
        <v>29</v>
      </c>
      <c r="K26" s="339">
        <f>SUM(K22:K25)</f>
        <v>8</v>
      </c>
      <c r="L26" s="340">
        <f>SUM(L22:L25)</f>
        <v>0</v>
      </c>
      <c r="M26" s="36"/>
      <c r="N26" s="33"/>
      <c r="O26" s="33"/>
      <c r="P26" s="33"/>
      <c r="Q26" s="33"/>
      <c r="R26" s="33"/>
      <c r="S26" s="33"/>
      <c r="T26" s="22"/>
      <c r="U26" s="22"/>
      <c r="V26" s="22"/>
      <c r="W26" s="22"/>
    </row>
    <row r="27" spans="1:23" ht="12" customHeight="1" x14ac:dyDescent="0.25">
      <c r="A27" s="19"/>
      <c r="B27" s="19"/>
      <c r="C27" s="19"/>
      <c r="D27" s="19"/>
      <c r="E27" s="19"/>
      <c r="F27" s="19"/>
      <c r="G27" s="22"/>
      <c r="H27" s="36"/>
      <c r="I27" s="36"/>
      <c r="J27" s="36"/>
      <c r="K27" s="36"/>
      <c r="L27" s="36"/>
      <c r="M27" s="36"/>
      <c r="N27" s="33"/>
      <c r="O27" s="33"/>
      <c r="P27" s="33"/>
      <c r="Q27" s="33"/>
      <c r="R27" s="33"/>
      <c r="S27" s="33"/>
      <c r="T27" s="22"/>
      <c r="U27" s="22"/>
      <c r="V27" s="22"/>
      <c r="W27" s="22"/>
    </row>
    <row r="28" spans="1:23" ht="24" customHeight="1" x14ac:dyDescent="0.25">
      <c r="A28" s="19"/>
      <c r="B28" s="1590" t="s">
        <v>101</v>
      </c>
      <c r="C28" s="1591"/>
      <c r="D28" s="1591"/>
      <c r="E28" s="353" t="s">
        <v>102</v>
      </c>
      <c r="F28" s="354" t="s">
        <v>152</v>
      </c>
      <c r="G28" s="22"/>
      <c r="H28" s="1597" t="s">
        <v>238</v>
      </c>
      <c r="I28" s="1598"/>
      <c r="J28" s="1598"/>
      <c r="K28" s="351" t="s">
        <v>102</v>
      </c>
      <c r="L28" s="352" t="s">
        <v>152</v>
      </c>
      <c r="M28" s="36"/>
      <c r="N28" s="33"/>
      <c r="O28" s="33"/>
      <c r="P28" s="33"/>
      <c r="Q28" s="33"/>
      <c r="R28" s="33"/>
      <c r="S28" s="33"/>
      <c r="T28" s="22"/>
      <c r="U28" s="22"/>
      <c r="V28" s="22"/>
      <c r="W28" s="22"/>
    </row>
    <row r="29" spans="1:23" ht="16.5" customHeight="1" x14ac:dyDescent="0.25">
      <c r="A29" s="19"/>
      <c r="B29" s="333" t="s">
        <v>21</v>
      </c>
      <c r="C29" s="1544" t="s">
        <v>311</v>
      </c>
      <c r="D29" s="1544"/>
      <c r="E29" s="334">
        <v>10</v>
      </c>
      <c r="F29" s="335">
        <f>Materials!H7</f>
        <v>0</v>
      </c>
      <c r="G29" s="22"/>
      <c r="H29" s="333" t="s">
        <v>323</v>
      </c>
      <c r="I29" s="1544" t="s">
        <v>322</v>
      </c>
      <c r="J29" s="1544"/>
      <c r="K29" s="334">
        <v>1</v>
      </c>
      <c r="L29" s="1023">
        <f>Management!H6</f>
        <v>0</v>
      </c>
      <c r="M29" s="36"/>
      <c r="N29" s="33"/>
      <c r="O29" s="33"/>
      <c r="P29" s="33"/>
      <c r="Q29" s="33"/>
      <c r="R29" s="33"/>
      <c r="S29" s="33"/>
      <c r="T29" s="22"/>
      <c r="U29" s="22"/>
      <c r="V29" s="22"/>
      <c r="W29" s="22"/>
    </row>
    <row r="30" spans="1:23" ht="16.5" customHeight="1" x14ac:dyDescent="0.25">
      <c r="A30" s="19"/>
      <c r="B30" s="337" t="s">
        <v>23</v>
      </c>
      <c r="C30" s="1553" t="s">
        <v>312</v>
      </c>
      <c r="D30" s="1553"/>
      <c r="E30" s="331">
        <v>4</v>
      </c>
      <c r="F30" s="338">
        <f>Materials!H8</f>
        <v>0</v>
      </c>
      <c r="G30" s="22"/>
      <c r="H30" s="328" t="s">
        <v>324</v>
      </c>
      <c r="I30" s="1546" t="s">
        <v>327</v>
      </c>
      <c r="J30" s="1546"/>
      <c r="K30" s="319">
        <v>2</v>
      </c>
      <c r="L30" s="1024">
        <f>Management!H7</f>
        <v>0</v>
      </c>
      <c r="M30" s="36"/>
      <c r="N30" s="1561" t="s">
        <v>103</v>
      </c>
      <c r="O30" s="1561"/>
      <c r="P30" s="1561"/>
      <c r="Q30" s="1561"/>
      <c r="R30" s="22"/>
      <c r="S30" s="1561" t="s">
        <v>175</v>
      </c>
      <c r="T30" s="1561"/>
      <c r="U30" s="1561"/>
      <c r="V30" s="1561"/>
      <c r="W30" s="36"/>
    </row>
    <row r="31" spans="1:23" x14ac:dyDescent="0.25">
      <c r="A31" s="19"/>
      <c r="B31" s="19"/>
      <c r="C31" s="19"/>
      <c r="D31" s="343" t="s">
        <v>29</v>
      </c>
      <c r="E31" s="344">
        <f>SUM(E29:E30)</f>
        <v>14</v>
      </c>
      <c r="F31" s="345">
        <f>SUM(F29:F30)</f>
        <v>0</v>
      </c>
      <c r="G31" s="22"/>
      <c r="H31" s="328" t="s">
        <v>325</v>
      </c>
      <c r="I31" s="1546" t="s">
        <v>328</v>
      </c>
      <c r="J31" s="1546"/>
      <c r="K31" s="319">
        <v>2</v>
      </c>
      <c r="L31" s="1024">
        <f>Management!H8</f>
        <v>0</v>
      </c>
      <c r="M31" s="36"/>
      <c r="N31" s="1561"/>
      <c r="O31" s="1561"/>
      <c r="P31" s="1561"/>
      <c r="Q31" s="1561"/>
      <c r="R31" s="22"/>
      <c r="S31" s="1561"/>
      <c r="T31" s="1561"/>
      <c r="U31" s="1561"/>
      <c r="V31" s="1561"/>
      <c r="W31" s="36"/>
    </row>
    <row r="32" spans="1:23" ht="16.5" customHeight="1" x14ac:dyDescent="0.25">
      <c r="A32" s="19"/>
      <c r="B32" s="19"/>
      <c r="C32" s="19"/>
      <c r="D32" s="19"/>
      <c r="E32" s="19"/>
      <c r="F32" s="19"/>
      <c r="G32" s="22"/>
      <c r="H32" s="328" t="s">
        <v>326</v>
      </c>
      <c r="I32" s="1546" t="s">
        <v>329</v>
      </c>
      <c r="J32" s="1546"/>
      <c r="K32" s="319">
        <v>2</v>
      </c>
      <c r="L32" s="1024">
        <f>Management!H9</f>
        <v>0</v>
      </c>
      <c r="M32" s="18"/>
      <c r="N32" s="1563" t="str">
        <f ca="1">CONCATENATE(F18+F24+F31+F40+L19+L26+L34+L40," / ",86," points")</f>
        <v>0 / 86 points</v>
      </c>
      <c r="O32" s="1564"/>
      <c r="P32" s="1564"/>
      <c r="Q32" s="1564"/>
      <c r="R32" s="22"/>
      <c r="S32" s="1562" t="str">
        <f>IF(E10="Yes",IF(F18+F24+F31+F40+L19+L26+L34+L40&gt;59, "Platinum",IF(F18+F24+F31+F40+L19+L26+L34+L40&gt;51,"Gold",IF(F18+F24+F31+F40+L19+L26+L34+L40&gt;43,"Silver",IF(F18+F24+F31+F40+L19+L26+L34+L40&gt;31,"Certified","Uncertified")))),"Uncertified")</f>
        <v>Uncertified</v>
      </c>
      <c r="T32" s="1562"/>
      <c r="U32" s="1562"/>
      <c r="V32" s="1562"/>
      <c r="W32" s="36"/>
    </row>
    <row r="33" spans="1:23" ht="16.5" customHeight="1" x14ac:dyDescent="0.25">
      <c r="A33" s="19"/>
      <c r="B33" s="19"/>
      <c r="C33" s="19"/>
      <c r="D33" s="19"/>
      <c r="E33" s="19"/>
      <c r="F33" s="19"/>
      <c r="G33" s="22"/>
      <c r="H33" s="337" t="s">
        <v>330</v>
      </c>
      <c r="I33" s="1553" t="s">
        <v>331</v>
      </c>
      <c r="J33" s="1553"/>
      <c r="K33" s="331">
        <v>2</v>
      </c>
      <c r="L33" s="338">
        <f>Management!H10</f>
        <v>0</v>
      </c>
      <c r="M33" s="22"/>
      <c r="N33" s="1565"/>
      <c r="O33" s="1566"/>
      <c r="P33" s="1566"/>
      <c r="Q33" s="1566"/>
      <c r="R33" s="18"/>
      <c r="S33" s="1562"/>
      <c r="T33" s="1562"/>
      <c r="U33" s="1562"/>
      <c r="V33" s="1562"/>
      <c r="W33" s="36"/>
    </row>
    <row r="34" spans="1:23" ht="16.5" customHeight="1" x14ac:dyDescent="0.25">
      <c r="A34" s="19"/>
      <c r="B34" s="19"/>
      <c r="C34" s="19"/>
      <c r="D34" s="19"/>
      <c r="E34" s="19"/>
      <c r="F34" s="19"/>
      <c r="G34" s="19"/>
      <c r="H34" s="18"/>
      <c r="I34" s="18"/>
      <c r="J34" s="332" t="s">
        <v>29</v>
      </c>
      <c r="K34" s="339">
        <f>SUM(K29:K33)</f>
        <v>9</v>
      </c>
      <c r="L34" s="340">
        <f>SUM(L29:L33)</f>
        <v>0</v>
      </c>
      <c r="M34" s="22"/>
      <c r="N34" s="22"/>
      <c r="O34" s="22"/>
      <c r="P34" s="22"/>
      <c r="Q34" s="22"/>
      <c r="R34" s="22"/>
      <c r="S34" s="22"/>
      <c r="T34" s="22"/>
      <c r="U34" s="22"/>
      <c r="V34" s="22"/>
      <c r="W34" s="36"/>
    </row>
    <row r="35" spans="1:23" ht="12" customHeight="1" x14ac:dyDescent="0.25">
      <c r="A35" s="19"/>
      <c r="B35" s="19"/>
      <c r="C35" s="19"/>
      <c r="D35" s="19"/>
      <c r="E35" s="19"/>
      <c r="F35" s="19"/>
      <c r="G35" s="22"/>
      <c r="H35" s="22"/>
      <c r="I35" s="18"/>
      <c r="J35" s="18"/>
      <c r="K35" s="18"/>
      <c r="L35" s="18"/>
      <c r="M35" s="22"/>
      <c r="N35" s="18"/>
      <c r="O35" s="18"/>
      <c r="P35" s="18"/>
      <c r="Q35" s="18"/>
      <c r="R35" s="18"/>
      <c r="S35" s="18"/>
      <c r="T35" s="18"/>
      <c r="U35" s="18"/>
      <c r="V35" s="18"/>
      <c r="W35" s="36"/>
    </row>
    <row r="36" spans="1:23" ht="24" customHeight="1" x14ac:dyDescent="0.25">
      <c r="A36" s="19"/>
      <c r="B36" s="1592" t="s">
        <v>306</v>
      </c>
      <c r="C36" s="1593"/>
      <c r="D36" s="1593"/>
      <c r="E36" s="355" t="s">
        <v>102</v>
      </c>
      <c r="F36" s="356" t="s">
        <v>152</v>
      </c>
      <c r="G36" s="22"/>
      <c r="H36" s="1588" t="s">
        <v>74</v>
      </c>
      <c r="I36" s="1589"/>
      <c r="J36" s="1589"/>
      <c r="K36" s="357" t="s">
        <v>102</v>
      </c>
      <c r="L36" s="358" t="s">
        <v>152</v>
      </c>
      <c r="M36" s="22"/>
      <c r="N36" s="18"/>
      <c r="O36" s="18"/>
      <c r="P36" s="18"/>
      <c r="Q36" s="18"/>
      <c r="R36" s="18"/>
      <c r="S36" s="18"/>
      <c r="T36" s="18"/>
      <c r="U36" s="18"/>
      <c r="V36" s="18"/>
      <c r="W36" s="36"/>
    </row>
    <row r="37" spans="1:23" ht="16.5" customHeight="1" x14ac:dyDescent="0.25">
      <c r="A37" s="19"/>
      <c r="B37" s="328" t="s">
        <v>305</v>
      </c>
      <c r="C37" s="1546" t="s">
        <v>40</v>
      </c>
      <c r="D37" s="1546"/>
      <c r="E37" s="319">
        <v>1</v>
      </c>
      <c r="F37" s="336">
        <f>'Waste &amp; Pollution'!H9</f>
        <v>0</v>
      </c>
      <c r="G37" s="21"/>
      <c r="H37" s="1586" t="s">
        <v>41</v>
      </c>
      <c r="I37" s="1544" t="s">
        <v>42</v>
      </c>
      <c r="J37" s="1544"/>
      <c r="K37" s="1558">
        <v>6</v>
      </c>
      <c r="L37" s="1560">
        <f>Innovation!H6</f>
        <v>0</v>
      </c>
      <c r="M37" s="22"/>
      <c r="N37" s="18"/>
      <c r="O37" s="18"/>
      <c r="P37" s="18"/>
      <c r="Q37" s="18"/>
      <c r="R37" s="18"/>
      <c r="S37" s="18"/>
      <c r="T37" s="18"/>
      <c r="U37" s="18"/>
      <c r="V37" s="18"/>
      <c r="W37" s="18"/>
    </row>
    <row r="38" spans="1:23" ht="16.5" customHeight="1" x14ac:dyDescent="0.25">
      <c r="A38" s="18"/>
      <c r="B38" s="328" t="s">
        <v>309</v>
      </c>
      <c r="C38" s="1546" t="s">
        <v>308</v>
      </c>
      <c r="D38" s="1546"/>
      <c r="E38" s="319">
        <v>2</v>
      </c>
      <c r="F38" s="1024">
        <f>'Waste &amp; Pollution'!H10</f>
        <v>0</v>
      </c>
      <c r="G38" s="21"/>
      <c r="H38" s="1587"/>
      <c r="I38" s="1546"/>
      <c r="J38" s="1546"/>
      <c r="K38" s="1547"/>
      <c r="L38" s="1543"/>
      <c r="M38" s="22"/>
      <c r="N38" s="18"/>
      <c r="O38" s="18"/>
      <c r="P38" s="18"/>
      <c r="Q38" s="18"/>
      <c r="R38" s="18"/>
      <c r="S38" s="18"/>
      <c r="T38" s="18"/>
      <c r="U38" s="18"/>
      <c r="V38" s="18"/>
      <c r="W38" s="18"/>
    </row>
    <row r="39" spans="1:23" ht="16.5" customHeight="1" x14ac:dyDescent="0.25">
      <c r="A39" s="18"/>
      <c r="B39" s="337" t="s">
        <v>310</v>
      </c>
      <c r="C39" s="1553" t="s">
        <v>227</v>
      </c>
      <c r="D39" s="1553"/>
      <c r="E39" s="331">
        <v>2</v>
      </c>
      <c r="F39" s="1024">
        <f>'Waste &amp; Pollution'!H11</f>
        <v>0</v>
      </c>
      <c r="G39" s="21"/>
      <c r="H39" s="337" t="s">
        <v>44</v>
      </c>
      <c r="I39" s="1553" t="s">
        <v>45</v>
      </c>
      <c r="J39" s="1553"/>
      <c r="K39" s="1559"/>
      <c r="L39" s="338">
        <f>Innovation!H8</f>
        <v>0</v>
      </c>
      <c r="M39" s="36"/>
      <c r="N39" s="18"/>
      <c r="O39" s="18"/>
      <c r="P39" s="18"/>
      <c r="Q39" s="18"/>
      <c r="R39" s="18"/>
      <c r="S39" s="18"/>
      <c r="T39" s="18"/>
      <c r="U39" s="18"/>
      <c r="V39" s="18"/>
      <c r="W39" s="18"/>
    </row>
    <row r="40" spans="1:23" ht="16.5" customHeight="1" x14ac:dyDescent="0.25">
      <c r="A40" s="18"/>
      <c r="B40" s="22"/>
      <c r="C40" s="22"/>
      <c r="D40" s="332" t="s">
        <v>29</v>
      </c>
      <c r="E40" s="339">
        <f>SUM(E37:E39)</f>
        <v>5</v>
      </c>
      <c r="F40" s="340">
        <f>SUM(F37:F39)</f>
        <v>0</v>
      </c>
      <c r="G40" s="21"/>
      <c r="H40" s="22"/>
      <c r="I40" s="22"/>
      <c r="J40" s="343" t="s">
        <v>29</v>
      </c>
      <c r="K40" s="344">
        <f>SUM(K37)</f>
        <v>6</v>
      </c>
      <c r="L40" s="345">
        <f>MIN(6,SUM(L37:L39))</f>
        <v>0</v>
      </c>
      <c r="M40" s="36"/>
      <c r="N40" s="18"/>
      <c r="O40" s="18"/>
      <c r="P40" s="18"/>
      <c r="Q40" s="18"/>
      <c r="R40" s="18"/>
      <c r="S40" s="18"/>
      <c r="T40" s="18"/>
      <c r="U40" s="18"/>
      <c r="V40" s="18"/>
      <c r="W40" s="18"/>
    </row>
    <row r="41" spans="1:23" ht="18" customHeight="1" x14ac:dyDescent="0.25">
      <c r="A41" s="18"/>
      <c r="B41" s="20"/>
      <c r="C41" s="20"/>
      <c r="D41" s="20"/>
      <c r="E41" s="20"/>
      <c r="F41" s="20"/>
      <c r="G41" s="21"/>
      <c r="H41" s="22"/>
      <c r="I41" s="22"/>
      <c r="J41" s="22"/>
      <c r="K41" s="22"/>
      <c r="L41" s="22"/>
      <c r="M41" s="36"/>
      <c r="N41" s="18"/>
      <c r="O41" s="18"/>
      <c r="P41" s="18"/>
      <c r="Q41" s="18"/>
      <c r="R41" s="18"/>
      <c r="S41" s="18"/>
      <c r="T41" s="18"/>
      <c r="U41" s="18"/>
      <c r="V41" s="18"/>
      <c r="W41" s="18"/>
    </row>
    <row r="42" spans="1:23" ht="18" hidden="1" customHeight="1" x14ac:dyDescent="0.25">
      <c r="A42" s="18"/>
      <c r="B42" s="20"/>
      <c r="C42" s="20"/>
      <c r="D42" s="20"/>
      <c r="E42" s="20"/>
      <c r="F42" s="20"/>
      <c r="G42" s="21"/>
      <c r="H42" s="23"/>
      <c r="I42" s="36"/>
      <c r="J42" s="23"/>
      <c r="K42" s="36"/>
      <c r="L42" s="36"/>
      <c r="M42" s="36"/>
      <c r="N42" s="18"/>
      <c r="O42" s="18"/>
      <c r="P42" s="18"/>
      <c r="Q42" s="18"/>
      <c r="R42" s="18"/>
      <c r="S42" s="18"/>
      <c r="T42" s="18"/>
      <c r="U42" s="18"/>
      <c r="V42" s="18"/>
      <c r="W42" s="18"/>
    </row>
    <row r="43" spans="1:23" ht="16.5" hidden="1" customHeight="1" x14ac:dyDescent="0.25">
      <c r="O43" s="18"/>
      <c r="P43" s="18"/>
      <c r="Q43" s="18"/>
      <c r="R43" s="18"/>
      <c r="S43" s="18"/>
      <c r="T43" s="18"/>
      <c r="U43" s="18"/>
      <c r="V43" s="18"/>
      <c r="W43" s="18"/>
    </row>
    <row r="44" spans="1:23" ht="16.5" hidden="1" customHeight="1" x14ac:dyDescent="0.25">
      <c r="W44" s="18"/>
    </row>
  </sheetData>
  <sheetProtection algorithmName="SHA-512" hashValue="GWdWnxOhj5TNVcFJY/vdC4HO/YZ/huiEvECDVrbd0fxv97mcZY9csfLnHNHn3mWUO/g2Byyu65wSDiNfsSrYvg==" saltValue="tUXgv+WfGuLhVGhOb9+RPw==" spinCount="100000" sheet="1" objects="1" scenarios="1"/>
  <mergeCells count="67">
    <mergeCell ref="B28:D28"/>
    <mergeCell ref="B36:D36"/>
    <mergeCell ref="I25:J25"/>
    <mergeCell ref="I15:J15"/>
    <mergeCell ref="E7:F7"/>
    <mergeCell ref="H9:H10"/>
    <mergeCell ref="B21:D21"/>
    <mergeCell ref="H28:J28"/>
    <mergeCell ref="C29:D29"/>
    <mergeCell ref="C38:D38"/>
    <mergeCell ref="C39:D39"/>
    <mergeCell ref="E10:F10"/>
    <mergeCell ref="H37:H38"/>
    <mergeCell ref="I37:J38"/>
    <mergeCell ref="C37:D37"/>
    <mergeCell ref="H36:J36"/>
    <mergeCell ref="I16:J16"/>
    <mergeCell ref="I17:J17"/>
    <mergeCell ref="I18:J18"/>
    <mergeCell ref="I29:J29"/>
    <mergeCell ref="I23:J23"/>
    <mergeCell ref="I24:J24"/>
    <mergeCell ref="C30:D30"/>
    <mergeCell ref="C23:D23"/>
    <mergeCell ref="C22:D22"/>
    <mergeCell ref="C6:D6"/>
    <mergeCell ref="E6:F6"/>
    <mergeCell ref="I12:J12"/>
    <mergeCell ref="I13:J13"/>
    <mergeCell ref="I14:J14"/>
    <mergeCell ref="I7:J7"/>
    <mergeCell ref="I8:J8"/>
    <mergeCell ref="C8:D8"/>
    <mergeCell ref="E8:F8"/>
    <mergeCell ref="E9:F9"/>
    <mergeCell ref="C9:D9"/>
    <mergeCell ref="B12:D13"/>
    <mergeCell ref="E12:E13"/>
    <mergeCell ref="F12:F13"/>
    <mergeCell ref="C7:D7"/>
    <mergeCell ref="N30:Q31"/>
    <mergeCell ref="S32:V33"/>
    <mergeCell ref="I31:J31"/>
    <mergeCell ref="I30:J30"/>
    <mergeCell ref="S30:V31"/>
    <mergeCell ref="N32:Q33"/>
    <mergeCell ref="K37:K39"/>
    <mergeCell ref="L37:L38"/>
    <mergeCell ref="I39:J39"/>
    <mergeCell ref="I32:J32"/>
    <mergeCell ref="I33:J33"/>
    <mergeCell ref="L9:L10"/>
    <mergeCell ref="I22:J22"/>
    <mergeCell ref="N1:V3"/>
    <mergeCell ref="I9:J10"/>
    <mergeCell ref="K9:K10"/>
    <mergeCell ref="I6:J6"/>
    <mergeCell ref="I11:J11"/>
    <mergeCell ref="A1:I3"/>
    <mergeCell ref="H21:J21"/>
    <mergeCell ref="C15:D15"/>
    <mergeCell ref="H5:J5"/>
    <mergeCell ref="C16:D16"/>
    <mergeCell ref="C17:D17"/>
    <mergeCell ref="C14:D14"/>
    <mergeCell ref="B5:D5"/>
    <mergeCell ref="E5:F5"/>
  </mergeCells>
  <conditionalFormatting sqref="N32 S32">
    <cfRule type="expression" dxfId="630" priority="437">
      <formula>$S32="Platinum"</formula>
    </cfRule>
    <cfRule type="expression" dxfId="629" priority="438">
      <formula>$S32="Gold"</formula>
    </cfRule>
    <cfRule type="expression" dxfId="628" priority="439">
      <formula>$S32="Silver"</formula>
    </cfRule>
    <cfRule type="expression" dxfId="627" priority="440">
      <formula>$S32="Uncertified"</formula>
    </cfRule>
    <cfRule type="expression" dxfId="626" priority="441">
      <formula>$S32="Certified"</formula>
    </cfRule>
  </conditionalFormatting>
  <hyperlinks>
    <hyperlink ref="B28:D28" location="Materials!K2" tooltip="Materials" display="Materials"/>
    <hyperlink ref="H5:J5" location="'Health &amp; Comfort'!K2" tooltip="Health &amp; Comfort" display="Health &amp; Comfort"/>
    <hyperlink ref="B12:C12" location="Energy!A1" display="Energy"/>
    <hyperlink ref="B12:D12" location="Energy!A1" tooltip="Energy" display="Energy"/>
    <hyperlink ref="H21:J21" location="'Location &amp; Transportation'!K2" tooltip="Location &amp; Transportation" display="Location &amp; Transportation"/>
    <hyperlink ref="B12:D13" location="Energy!K2" tooltip="Energy" display="Energy"/>
    <hyperlink ref="B5:D5" location="Energy!A1" tooltip="Energy" display="Energy"/>
    <hyperlink ref="B21:D21" location="Water!K2" display="Water"/>
    <hyperlink ref="H28:J28" location="Management!K2" tooltip="Management" display="Management"/>
    <hyperlink ref="H36:J36" location="Innovation!K2" display="Innovation"/>
    <hyperlink ref="B36:D36" location="'Waste &amp; Pollution'!K2" tooltip="Waste &amp; Pollution" display="Waste &amp; Pollution"/>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75"/>
  <sheetViews>
    <sheetView showRowColHeaders="0" workbookViewId="0">
      <pane ySplit="5" topLeftCell="A6" activePane="bottomLeft" state="frozen"/>
      <selection pane="bottomLeft" activeCell="L20" sqref="L20"/>
    </sheetView>
  </sheetViews>
  <sheetFormatPr defaultColWidth="0" defaultRowHeight="15" zeroHeight="1" x14ac:dyDescent="0.25"/>
  <cols>
    <col min="1" max="12" width="11.42578125" customWidth="1"/>
    <col min="13" max="16384" width="11.42578125" hidden="1"/>
  </cols>
  <sheetData>
    <row r="1" spans="1:21" ht="33" customHeight="1" x14ac:dyDescent="0.25">
      <c r="A1" s="1419" t="s">
        <v>234</v>
      </c>
      <c r="B1" s="1419"/>
      <c r="C1" s="1419"/>
      <c r="D1" s="1419"/>
      <c r="E1" s="1419"/>
      <c r="F1" s="1419"/>
      <c r="G1" s="1419"/>
      <c r="H1" s="1419"/>
      <c r="I1" s="1419"/>
      <c r="J1" s="1419"/>
      <c r="K1" s="1419"/>
      <c r="L1" s="1419"/>
      <c r="M1" s="301"/>
      <c r="N1" s="301"/>
    </row>
    <row r="2" spans="1:21" s="102" customFormat="1" ht="30" customHeight="1" x14ac:dyDescent="0.25">
      <c r="A2" s="1604" t="s">
        <v>2256</v>
      </c>
      <c r="B2" s="1604"/>
      <c r="C2" s="1604"/>
      <c r="D2" s="1604"/>
      <c r="E2" s="1604"/>
      <c r="F2" s="1604"/>
      <c r="G2" s="1604"/>
      <c r="H2" s="1604"/>
      <c r="I2" s="1604"/>
      <c r="J2" s="1604"/>
      <c r="K2" s="1604"/>
      <c r="L2" s="1604"/>
    </row>
    <row r="3" spans="1:21" hidden="1" x14ac:dyDescent="0.25">
      <c r="A3" s="9"/>
      <c r="B3" s="9"/>
      <c r="C3" s="9"/>
      <c r="D3" s="9"/>
      <c r="E3" s="9"/>
      <c r="F3" s="9"/>
      <c r="G3" s="9"/>
      <c r="H3" s="9"/>
      <c r="I3" s="9"/>
      <c r="J3" s="9"/>
      <c r="K3" s="9"/>
      <c r="L3" s="9"/>
    </row>
    <row r="4" spans="1:21" ht="12.75" hidden="1" customHeight="1" x14ac:dyDescent="0.25">
      <c r="A4" s="9"/>
      <c r="B4" s="9"/>
      <c r="C4" s="1599" t="s">
        <v>175</v>
      </c>
      <c r="D4" s="1600"/>
      <c r="E4" s="1600"/>
      <c r="F4" s="1600"/>
      <c r="G4" s="1603" t="str">
        <f ca="1">IF(N6&gt;59, "Platinum",IF(N6&gt;51,"Gold",IF(N6&gt;43,"Silver",IF(N6&gt;31,"Certified","Uncertified"))))</f>
        <v>Uncertified</v>
      </c>
      <c r="H4" s="1603"/>
      <c r="I4" s="1603"/>
      <c r="J4" s="9"/>
      <c r="K4" s="9"/>
      <c r="L4" s="9"/>
      <c r="M4" s="9"/>
    </row>
    <row r="5" spans="1:21" ht="12.75" hidden="1" customHeight="1" x14ac:dyDescent="0.25">
      <c r="A5" s="9"/>
      <c r="B5" s="9"/>
      <c r="C5" s="1601"/>
      <c r="D5" s="1602"/>
      <c r="E5" s="1602"/>
      <c r="F5" s="1602"/>
      <c r="G5" s="1603"/>
      <c r="H5" s="1603"/>
      <c r="I5" s="1603"/>
      <c r="J5" s="9"/>
      <c r="K5" s="9"/>
      <c r="L5" s="9"/>
      <c r="M5" s="9"/>
    </row>
    <row r="6" spans="1:21" x14ac:dyDescent="0.25">
      <c r="A6" s="9"/>
      <c r="B6" s="9"/>
      <c r="C6" s="9"/>
      <c r="D6" s="9"/>
      <c r="E6" s="9"/>
      <c r="F6" s="9"/>
      <c r="G6" s="9"/>
      <c r="H6" s="9"/>
      <c r="I6" s="9"/>
      <c r="J6" s="9"/>
      <c r="K6" s="9"/>
      <c r="L6" s="9"/>
      <c r="N6">
        <f ca="1">'LOTUS Interiors Scorecard'!F18+'LOTUS Interiors Scorecard'!F24+'LOTUS Interiors Scorecard'!F31+'LOTUS Interiors Scorecard'!L19+'LOTUS Interiors Scorecard'!L26+'LOTUS Interiors Scorecard'!L34+'LOTUS Interiors Scorecard'!F40+'LOTUS Interiors Scorecard'!L40</f>
        <v>0</v>
      </c>
      <c r="O6">
        <v>31</v>
      </c>
      <c r="P6" t="s">
        <v>145</v>
      </c>
      <c r="R6" t="s">
        <v>20</v>
      </c>
      <c r="S6">
        <f>'LOTUS Interiors Scorecard'!E18</f>
        <v>18</v>
      </c>
      <c r="T6">
        <f ca="1">'LOTUS Interiors Scorecard'!F18</f>
        <v>0</v>
      </c>
      <c r="U6">
        <f ca="1">S6-T6</f>
        <v>18</v>
      </c>
    </row>
    <row r="7" spans="1:21" x14ac:dyDescent="0.25">
      <c r="A7" s="9"/>
      <c r="B7" s="9"/>
      <c r="C7" s="9"/>
      <c r="D7" s="9"/>
      <c r="E7" s="9"/>
      <c r="F7" s="9"/>
      <c r="G7" s="9"/>
      <c r="H7" s="9"/>
      <c r="I7" s="9"/>
      <c r="J7" s="9"/>
      <c r="K7" s="9"/>
      <c r="L7" s="9"/>
      <c r="N7">
        <f ca="1">86-N6</f>
        <v>86</v>
      </c>
      <c r="O7">
        <f>43-O6</f>
        <v>12</v>
      </c>
      <c r="P7" t="s">
        <v>146</v>
      </c>
      <c r="R7" t="s">
        <v>16</v>
      </c>
      <c r="S7">
        <f>'LOTUS Interiors Scorecard'!E24</f>
        <v>6</v>
      </c>
      <c r="T7">
        <f>'LOTUS Interiors Scorecard'!F24</f>
        <v>0</v>
      </c>
      <c r="U7">
        <f t="shared" ref="U7:U12" si="0">S7-T7</f>
        <v>6</v>
      </c>
    </row>
    <row r="8" spans="1:21" x14ac:dyDescent="0.25">
      <c r="A8" s="9"/>
      <c r="B8" s="9"/>
      <c r="C8" s="9"/>
      <c r="D8" s="9"/>
      <c r="E8" s="9"/>
      <c r="F8" s="9"/>
      <c r="G8" s="9"/>
      <c r="H8" s="9"/>
      <c r="I8" s="9"/>
      <c r="J8" s="9"/>
      <c r="K8" s="9"/>
      <c r="L8" s="9"/>
      <c r="N8">
        <f>86</f>
        <v>86</v>
      </c>
      <c r="O8">
        <f>51-43</f>
        <v>8</v>
      </c>
      <c r="P8" t="s">
        <v>147</v>
      </c>
      <c r="R8" t="s">
        <v>101</v>
      </c>
      <c r="S8">
        <f>'LOTUS Interiors Scorecard'!E31</f>
        <v>14</v>
      </c>
      <c r="T8">
        <f>'LOTUS Interiors Scorecard'!F31</f>
        <v>0</v>
      </c>
      <c r="U8">
        <f t="shared" si="0"/>
        <v>14</v>
      </c>
    </row>
    <row r="9" spans="1:21" x14ac:dyDescent="0.25">
      <c r="A9" s="9"/>
      <c r="B9" s="9"/>
      <c r="C9" s="9"/>
      <c r="D9" s="9"/>
      <c r="E9" s="9"/>
      <c r="F9" s="9"/>
      <c r="G9" s="9"/>
      <c r="H9" s="9"/>
      <c r="I9" s="9"/>
      <c r="J9" s="9"/>
      <c r="K9" s="9"/>
      <c r="L9" s="9"/>
      <c r="O9">
        <f>59-51</f>
        <v>8</v>
      </c>
      <c r="P9" t="s">
        <v>148</v>
      </c>
      <c r="R9" t="s">
        <v>725</v>
      </c>
      <c r="S9">
        <v>5</v>
      </c>
      <c r="T9">
        <f>'LOTUS Interiors Scorecard'!F40</f>
        <v>0</v>
      </c>
      <c r="U9">
        <f t="shared" si="0"/>
        <v>5</v>
      </c>
    </row>
    <row r="10" spans="1:21" x14ac:dyDescent="0.25">
      <c r="A10" s="9"/>
      <c r="B10" s="9"/>
      <c r="C10" s="9"/>
      <c r="D10" s="9"/>
      <c r="E10" s="9"/>
      <c r="F10" s="9"/>
      <c r="G10" s="9"/>
      <c r="H10" s="9"/>
      <c r="I10" s="9"/>
      <c r="J10" s="9"/>
      <c r="K10" s="9"/>
      <c r="L10" s="9"/>
      <c r="O10">
        <v>40</v>
      </c>
      <c r="P10" t="s">
        <v>149</v>
      </c>
      <c r="R10" t="s">
        <v>150</v>
      </c>
      <c r="S10">
        <f>'LOTUS Interiors Scorecard'!K19</f>
        <v>20</v>
      </c>
      <c r="T10">
        <f>'LOTUS Interiors Scorecard'!L19</f>
        <v>0</v>
      </c>
      <c r="U10">
        <f t="shared" si="0"/>
        <v>20</v>
      </c>
    </row>
    <row r="11" spans="1:21" x14ac:dyDescent="0.25">
      <c r="A11" s="9"/>
      <c r="B11" s="9"/>
      <c r="C11" s="9"/>
      <c r="D11" s="9"/>
      <c r="E11" s="9"/>
      <c r="F11" s="9"/>
      <c r="G11" s="9"/>
      <c r="H11" s="9"/>
      <c r="I11" s="9"/>
      <c r="J11" s="9"/>
      <c r="K11" s="9"/>
      <c r="L11" s="9"/>
      <c r="R11" t="s">
        <v>726</v>
      </c>
      <c r="S11">
        <f>'LOTUS Interiors Scorecard'!K26</f>
        <v>8</v>
      </c>
      <c r="T11">
        <f>'LOTUS Interiors Scorecard'!L26</f>
        <v>0</v>
      </c>
      <c r="U11">
        <f t="shared" si="0"/>
        <v>8</v>
      </c>
    </row>
    <row r="12" spans="1:21" x14ac:dyDescent="0.25">
      <c r="A12" s="9"/>
      <c r="B12" s="9"/>
      <c r="C12" s="9"/>
      <c r="D12" s="9"/>
      <c r="E12" s="9"/>
      <c r="F12" s="9"/>
      <c r="G12" s="9"/>
      <c r="H12" s="9"/>
      <c r="I12" s="9"/>
      <c r="J12" s="9"/>
      <c r="K12" s="9"/>
      <c r="L12" s="9"/>
      <c r="R12" t="s">
        <v>238</v>
      </c>
      <c r="S12">
        <f>'LOTUS Interiors Scorecard'!K34</f>
        <v>9</v>
      </c>
      <c r="T12">
        <f>'LOTUS Interiors Scorecard'!L34</f>
        <v>0</v>
      </c>
      <c r="U12">
        <f t="shared" si="0"/>
        <v>9</v>
      </c>
    </row>
    <row r="13" spans="1:21" x14ac:dyDescent="0.25">
      <c r="A13" s="9"/>
      <c r="B13" s="9"/>
      <c r="C13" s="9"/>
      <c r="D13" s="9"/>
      <c r="E13" s="9"/>
      <c r="F13" s="9"/>
      <c r="G13" s="9"/>
      <c r="H13" s="9"/>
      <c r="I13" s="9"/>
      <c r="J13" s="9"/>
      <c r="K13" s="9"/>
      <c r="L13" s="9"/>
      <c r="O13">
        <f ca="1">MAX(0,N6-0.25)</f>
        <v>0</v>
      </c>
      <c r="R13" t="s">
        <v>74</v>
      </c>
      <c r="S13">
        <f>'LOTUS Interiors Scorecard'!K40</f>
        <v>6</v>
      </c>
      <c r="T13">
        <f>'LOTUS Interiors Scorecard'!L40</f>
        <v>0</v>
      </c>
      <c r="U13">
        <f t="shared" ref="U13" si="1">S13-T13</f>
        <v>6</v>
      </c>
    </row>
    <row r="14" spans="1:21" x14ac:dyDescent="0.25">
      <c r="A14" s="9"/>
      <c r="B14" s="9"/>
      <c r="C14" s="9"/>
      <c r="D14" s="9"/>
      <c r="E14" s="9"/>
      <c r="F14" s="9"/>
      <c r="G14" s="9"/>
      <c r="H14" s="9"/>
      <c r="I14" s="9"/>
      <c r="J14" s="9"/>
      <c r="K14" s="9"/>
      <c r="L14" s="9"/>
      <c r="O14">
        <v>0.5</v>
      </c>
    </row>
    <row r="15" spans="1:21" x14ac:dyDescent="0.25">
      <c r="A15" s="9"/>
      <c r="B15" s="9"/>
      <c r="C15" s="9"/>
      <c r="D15" s="9"/>
      <c r="E15" s="9"/>
      <c r="F15" s="9"/>
      <c r="G15" s="9"/>
      <c r="H15" s="9"/>
      <c r="I15" s="9"/>
      <c r="J15" s="9"/>
      <c r="K15" s="9"/>
      <c r="L15" s="9"/>
      <c r="O15">
        <f ca="1">N8-(O13+O14)</f>
        <v>85.5</v>
      </c>
      <c r="R15" t="s">
        <v>20</v>
      </c>
      <c r="S15" s="119">
        <f ca="1">T6/S6</f>
        <v>0</v>
      </c>
    </row>
    <row r="16" spans="1:21" x14ac:dyDescent="0.25">
      <c r="A16" s="9"/>
      <c r="B16" s="9"/>
      <c r="C16" s="9"/>
      <c r="D16" s="9"/>
      <c r="E16" s="9"/>
      <c r="F16" s="9"/>
      <c r="G16" s="9"/>
      <c r="H16" s="9"/>
      <c r="I16" s="9"/>
      <c r="J16" s="9"/>
      <c r="K16" s="9"/>
      <c r="L16" s="9"/>
      <c r="R16" t="s">
        <v>16</v>
      </c>
      <c r="S16" s="119">
        <f t="shared" ref="S16:S21" si="2">T7/S7</f>
        <v>0</v>
      </c>
    </row>
    <row r="17" spans="1:19" x14ac:dyDescent="0.25">
      <c r="A17" s="9"/>
      <c r="B17" s="9"/>
      <c r="C17" s="9"/>
      <c r="D17" s="9"/>
      <c r="E17" s="9"/>
      <c r="F17" s="9"/>
      <c r="G17" s="9"/>
      <c r="H17" s="9"/>
      <c r="I17" s="9"/>
      <c r="J17" s="9"/>
      <c r="K17" s="9"/>
      <c r="L17" s="9"/>
      <c r="R17" t="s">
        <v>101</v>
      </c>
      <c r="S17" s="119">
        <f t="shared" si="2"/>
        <v>0</v>
      </c>
    </row>
    <row r="18" spans="1:19" x14ac:dyDescent="0.25">
      <c r="A18" s="9"/>
      <c r="B18" s="9"/>
      <c r="C18" s="9"/>
      <c r="D18" s="9"/>
      <c r="E18" s="9"/>
      <c r="F18" s="9"/>
      <c r="G18" s="9"/>
      <c r="H18" s="9"/>
      <c r="I18" s="9"/>
      <c r="J18" s="9"/>
      <c r="K18" s="9"/>
      <c r="L18" s="9"/>
      <c r="R18" t="s">
        <v>725</v>
      </c>
      <c r="S18" s="119">
        <f t="shared" si="2"/>
        <v>0</v>
      </c>
    </row>
    <row r="19" spans="1:19" x14ac:dyDescent="0.25">
      <c r="A19" s="9"/>
      <c r="B19" s="9"/>
      <c r="C19" s="9"/>
      <c r="D19" s="9"/>
      <c r="E19" s="9"/>
      <c r="F19" s="9"/>
      <c r="G19" s="9"/>
      <c r="H19" s="9"/>
      <c r="I19" s="9"/>
      <c r="J19" s="9"/>
      <c r="K19" s="9"/>
      <c r="L19" s="9"/>
      <c r="R19" t="s">
        <v>150</v>
      </c>
      <c r="S19" s="119">
        <f t="shared" si="2"/>
        <v>0</v>
      </c>
    </row>
    <row r="20" spans="1:19" x14ac:dyDescent="0.25">
      <c r="A20" s="9"/>
      <c r="B20" s="9"/>
      <c r="C20" s="9"/>
      <c r="D20" s="9"/>
      <c r="E20" s="9"/>
      <c r="F20" s="9"/>
      <c r="G20" s="9"/>
      <c r="H20" s="9"/>
      <c r="I20" s="9"/>
      <c r="J20" s="9"/>
      <c r="K20" s="9"/>
      <c r="L20" s="9"/>
      <c r="R20" t="s">
        <v>726</v>
      </c>
      <c r="S20" s="119">
        <f t="shared" si="2"/>
        <v>0</v>
      </c>
    </row>
    <row r="21" spans="1:19" x14ac:dyDescent="0.25">
      <c r="A21" s="9"/>
      <c r="B21" s="9"/>
      <c r="C21" s="9"/>
      <c r="D21" s="9"/>
      <c r="E21" s="9"/>
      <c r="F21" s="9"/>
      <c r="G21" s="9"/>
      <c r="H21" s="9"/>
      <c r="I21" s="9"/>
      <c r="J21" s="9"/>
      <c r="K21" s="9"/>
      <c r="L21" s="9"/>
      <c r="R21" t="s">
        <v>238</v>
      </c>
      <c r="S21" s="119">
        <f t="shared" si="2"/>
        <v>0</v>
      </c>
    </row>
    <row r="22" spans="1:19" x14ac:dyDescent="0.25">
      <c r="A22" s="9"/>
      <c r="B22" s="9"/>
      <c r="C22" s="9"/>
      <c r="D22" s="9"/>
      <c r="E22" s="9"/>
      <c r="F22" s="9"/>
      <c r="G22" s="9"/>
      <c r="H22" s="9"/>
      <c r="I22" s="9"/>
      <c r="J22" s="9"/>
      <c r="K22" s="9"/>
      <c r="L22" s="9"/>
      <c r="R22" t="s">
        <v>74</v>
      </c>
      <c r="S22">
        <f t="shared" ref="S22" si="3">T13/S13</f>
        <v>0</v>
      </c>
    </row>
    <row r="23" spans="1:19" x14ac:dyDescent="0.25">
      <c r="A23" s="9"/>
      <c r="B23" s="9"/>
      <c r="C23" s="9"/>
      <c r="D23" s="9"/>
      <c r="E23" s="9"/>
      <c r="F23" s="9"/>
      <c r="G23" s="9"/>
      <c r="H23" s="9"/>
      <c r="I23" s="9"/>
      <c r="J23" s="9"/>
      <c r="K23" s="9"/>
      <c r="L23" s="9"/>
    </row>
    <row r="24" spans="1:19" x14ac:dyDescent="0.25">
      <c r="A24" s="9"/>
      <c r="B24" s="9"/>
      <c r="C24" s="9"/>
      <c r="D24" s="9"/>
      <c r="E24" s="9"/>
      <c r="F24" s="9"/>
      <c r="G24" s="9"/>
      <c r="H24" s="9"/>
      <c r="I24" s="9"/>
      <c r="J24" s="9"/>
      <c r="K24" s="9"/>
      <c r="L24" s="9"/>
    </row>
    <row r="25" spans="1:19" x14ac:dyDescent="0.25">
      <c r="A25" s="9"/>
      <c r="B25" s="9"/>
      <c r="C25" s="9"/>
      <c r="D25" s="9"/>
      <c r="E25" s="9"/>
      <c r="F25" s="9"/>
      <c r="G25" s="9"/>
      <c r="H25" s="9"/>
      <c r="I25" s="9"/>
      <c r="J25" s="9"/>
      <c r="K25" s="9"/>
      <c r="L25" s="9"/>
    </row>
    <row r="26" spans="1:19" x14ac:dyDescent="0.25">
      <c r="A26" s="9"/>
      <c r="B26" s="9"/>
      <c r="C26" s="9"/>
      <c r="D26" s="9"/>
      <c r="E26" s="9"/>
      <c r="F26" s="9"/>
      <c r="G26" s="9"/>
      <c r="H26" s="9"/>
      <c r="I26" s="9"/>
      <c r="J26" s="9"/>
      <c r="K26" s="9"/>
      <c r="L26" s="9"/>
    </row>
    <row r="27" spans="1:19" x14ac:dyDescent="0.25">
      <c r="A27" s="9"/>
      <c r="B27" s="9"/>
      <c r="C27" s="9"/>
      <c r="D27" s="9"/>
      <c r="E27" s="9"/>
      <c r="F27" s="9"/>
      <c r="G27" s="9"/>
      <c r="H27" s="9"/>
      <c r="I27" s="9"/>
      <c r="J27" s="9"/>
      <c r="K27" s="9"/>
      <c r="L27" s="9"/>
    </row>
    <row r="28" spans="1:19" x14ac:dyDescent="0.25">
      <c r="A28" s="9"/>
      <c r="B28" s="9"/>
      <c r="C28" s="9"/>
      <c r="D28" s="9"/>
      <c r="E28" s="9"/>
      <c r="F28" s="9"/>
      <c r="G28" s="9"/>
      <c r="H28" s="9"/>
      <c r="I28" s="9"/>
      <c r="J28" s="9"/>
      <c r="K28" s="9"/>
      <c r="L28" s="9"/>
    </row>
    <row r="29" spans="1:19" x14ac:dyDescent="0.25">
      <c r="A29" s="9"/>
      <c r="B29" s="9"/>
      <c r="C29" s="9"/>
      <c r="D29" s="9"/>
      <c r="E29" s="9"/>
      <c r="F29" s="9"/>
      <c r="G29" s="9"/>
      <c r="H29" s="9"/>
      <c r="I29" s="9"/>
      <c r="J29" s="9"/>
      <c r="K29" s="9"/>
      <c r="L29" s="9"/>
    </row>
    <row r="30" spans="1:19" x14ac:dyDescent="0.25">
      <c r="A30" s="9"/>
      <c r="B30" s="9"/>
      <c r="C30" s="9"/>
      <c r="D30" s="9"/>
      <c r="E30" s="9"/>
      <c r="F30" s="9"/>
      <c r="G30" s="9"/>
      <c r="H30" s="9"/>
      <c r="I30" s="9"/>
      <c r="J30" s="9"/>
      <c r="K30" s="9"/>
      <c r="L30" s="9"/>
    </row>
    <row r="31" spans="1:19" x14ac:dyDescent="0.25">
      <c r="A31" s="9"/>
      <c r="B31" s="9"/>
      <c r="C31" s="9"/>
      <c r="D31" s="9"/>
      <c r="E31" s="9"/>
      <c r="F31" s="9"/>
      <c r="G31" s="9"/>
      <c r="H31" s="9"/>
      <c r="I31" s="9"/>
      <c r="J31" s="9"/>
      <c r="K31" s="9"/>
      <c r="L31" s="9"/>
    </row>
    <row r="32" spans="1:19" x14ac:dyDescent="0.25">
      <c r="A32" s="9"/>
      <c r="B32" s="9"/>
      <c r="C32" s="9"/>
      <c r="D32" s="9"/>
      <c r="E32" s="9"/>
      <c r="F32" s="9"/>
      <c r="G32" s="9"/>
      <c r="H32" s="9"/>
      <c r="I32" s="9"/>
      <c r="J32" s="9"/>
      <c r="K32" s="9"/>
      <c r="L32" s="9"/>
    </row>
    <row r="33" spans="1:12" x14ac:dyDescent="0.25">
      <c r="A33" s="9"/>
      <c r="B33" s="9"/>
      <c r="C33" s="9"/>
      <c r="D33" s="9"/>
      <c r="E33" s="9"/>
      <c r="F33" s="9"/>
      <c r="G33" s="9"/>
      <c r="H33" s="9"/>
      <c r="I33" s="9"/>
      <c r="J33" s="9"/>
      <c r="K33" s="9"/>
      <c r="L33" s="9"/>
    </row>
    <row r="34" spans="1:12" x14ac:dyDescent="0.25">
      <c r="A34" s="9"/>
      <c r="B34" s="9"/>
      <c r="C34" s="9"/>
      <c r="D34" s="9"/>
      <c r="E34" s="9"/>
      <c r="F34" s="9"/>
      <c r="G34" s="9"/>
      <c r="H34" s="9"/>
      <c r="I34" s="9"/>
      <c r="J34" s="9"/>
      <c r="K34" s="9"/>
      <c r="L34" s="9"/>
    </row>
    <row r="35" spans="1:12" x14ac:dyDescent="0.25">
      <c r="A35" s="9"/>
      <c r="B35" s="9"/>
      <c r="C35" s="9"/>
      <c r="D35" s="9"/>
      <c r="E35" s="9"/>
      <c r="F35" s="9"/>
      <c r="G35" s="9"/>
      <c r="H35" s="9"/>
      <c r="I35" s="9"/>
      <c r="J35" s="9"/>
      <c r="K35" s="9"/>
      <c r="L35" s="9"/>
    </row>
    <row r="36" spans="1:12" x14ac:dyDescent="0.25">
      <c r="A36" s="9"/>
      <c r="B36" s="9"/>
      <c r="C36" s="9"/>
      <c r="D36" s="9"/>
      <c r="E36" s="9"/>
      <c r="F36" s="9"/>
      <c r="G36" s="9"/>
      <c r="H36" s="9"/>
      <c r="I36" s="9"/>
      <c r="J36" s="9"/>
      <c r="K36" s="9"/>
      <c r="L36" s="9"/>
    </row>
    <row r="37" spans="1:12" x14ac:dyDescent="0.25">
      <c r="A37" s="9"/>
      <c r="B37" s="9"/>
      <c r="C37" s="9"/>
      <c r="D37" s="9"/>
      <c r="E37" s="9"/>
      <c r="F37" s="9"/>
      <c r="G37" s="9"/>
      <c r="H37" s="9"/>
      <c r="I37" s="9"/>
      <c r="J37" s="9"/>
      <c r="K37" s="9"/>
      <c r="L37" s="9"/>
    </row>
    <row r="38" spans="1:12" x14ac:dyDescent="0.25">
      <c r="A38" s="9"/>
      <c r="B38" s="9"/>
      <c r="C38" s="9"/>
      <c r="D38" s="9"/>
      <c r="E38" s="9"/>
      <c r="F38" s="9"/>
      <c r="G38" s="9"/>
      <c r="H38" s="9"/>
      <c r="I38" s="9"/>
      <c r="J38" s="9"/>
      <c r="K38" s="9"/>
      <c r="L38" s="9"/>
    </row>
    <row r="39" spans="1:12" hidden="1" x14ac:dyDescent="0.25">
      <c r="A39" s="9"/>
      <c r="B39" s="9"/>
      <c r="C39" s="9"/>
      <c r="D39" s="9"/>
      <c r="E39" s="9"/>
      <c r="F39" s="9"/>
      <c r="G39" s="9"/>
      <c r="H39" s="9"/>
      <c r="I39" s="9"/>
      <c r="J39" s="9"/>
      <c r="K39" s="9"/>
      <c r="L39" s="9"/>
    </row>
    <row r="40" spans="1:12" hidden="1" x14ac:dyDescent="0.25">
      <c r="A40" s="9"/>
      <c r="B40" s="9"/>
      <c r="C40" s="9"/>
      <c r="D40" s="9"/>
      <c r="E40" s="9"/>
      <c r="F40" s="9"/>
      <c r="G40" s="9"/>
      <c r="H40" s="9"/>
      <c r="I40" s="9"/>
      <c r="J40" s="9"/>
      <c r="K40" s="9"/>
      <c r="L40" s="9"/>
    </row>
    <row r="41" spans="1:12" hidden="1" x14ac:dyDescent="0.25">
      <c r="A41" s="9"/>
      <c r="B41" s="9"/>
      <c r="C41" s="9"/>
      <c r="D41" s="9"/>
      <c r="E41" s="9"/>
      <c r="F41" s="9"/>
      <c r="G41" s="9"/>
      <c r="H41" s="9"/>
      <c r="I41" s="9"/>
      <c r="J41" s="9"/>
      <c r="K41" s="9"/>
      <c r="L41" s="9"/>
    </row>
    <row r="42" spans="1:12" hidden="1" x14ac:dyDescent="0.25">
      <c r="A42" s="9"/>
      <c r="B42" s="9"/>
      <c r="C42" s="9"/>
      <c r="D42" s="9"/>
      <c r="E42" s="9"/>
      <c r="F42" s="9"/>
      <c r="G42" s="9"/>
      <c r="H42" s="9"/>
      <c r="I42" s="9"/>
      <c r="J42" s="9"/>
      <c r="K42" s="9"/>
      <c r="L42" s="9"/>
    </row>
    <row r="43" spans="1:12" hidden="1" x14ac:dyDescent="0.25">
      <c r="A43" s="9"/>
      <c r="B43" s="9"/>
      <c r="C43" s="9"/>
      <c r="D43" s="9"/>
      <c r="E43" s="9"/>
      <c r="F43" s="9"/>
      <c r="G43" s="9"/>
      <c r="H43" s="9"/>
      <c r="I43" s="9"/>
      <c r="J43" s="9"/>
      <c r="K43" s="9"/>
      <c r="L43" s="9"/>
    </row>
    <row r="44" spans="1:12" hidden="1" x14ac:dyDescent="0.25">
      <c r="A44" s="9"/>
      <c r="B44" s="9"/>
      <c r="C44" s="9"/>
      <c r="D44" s="9"/>
      <c r="E44" s="9"/>
      <c r="F44" s="9"/>
      <c r="G44" s="9"/>
      <c r="H44" s="9"/>
      <c r="I44" s="9"/>
      <c r="J44" s="9"/>
      <c r="K44" s="9"/>
      <c r="L44" s="9"/>
    </row>
    <row r="45" spans="1:12" hidden="1" x14ac:dyDescent="0.25">
      <c r="A45" s="9"/>
      <c r="B45" s="9"/>
      <c r="C45" s="9"/>
      <c r="D45" s="9"/>
      <c r="E45" s="9"/>
      <c r="F45" s="9"/>
      <c r="G45" s="9"/>
      <c r="H45" s="9"/>
      <c r="I45" s="9"/>
      <c r="J45" s="9"/>
      <c r="K45" s="9"/>
      <c r="L45" s="9"/>
    </row>
    <row r="46" spans="1:12" hidden="1" x14ac:dyDescent="0.25">
      <c r="A46" s="9"/>
      <c r="B46" s="9"/>
      <c r="C46" s="9"/>
      <c r="D46" s="9"/>
      <c r="E46" s="9"/>
      <c r="F46" s="9"/>
      <c r="G46" s="9"/>
      <c r="H46" s="9"/>
      <c r="I46" s="9"/>
      <c r="J46" s="9"/>
      <c r="K46" s="9"/>
      <c r="L46" s="9"/>
    </row>
    <row r="47" spans="1:12" hidden="1" x14ac:dyDescent="0.25">
      <c r="A47" s="9"/>
      <c r="B47" s="9"/>
      <c r="C47" s="9"/>
      <c r="D47" s="9"/>
      <c r="E47" s="9"/>
      <c r="F47" s="9"/>
      <c r="G47" s="9"/>
      <c r="H47" s="9"/>
      <c r="I47" s="9"/>
      <c r="J47" s="9"/>
      <c r="K47" s="9"/>
      <c r="L47" s="9"/>
    </row>
    <row r="48" spans="1:12" hidden="1" x14ac:dyDescent="0.25">
      <c r="A48" s="9"/>
      <c r="B48" s="9"/>
      <c r="C48" s="9"/>
      <c r="D48" s="9"/>
      <c r="E48" s="9"/>
      <c r="F48" s="9"/>
      <c r="G48" s="9"/>
      <c r="H48" s="9"/>
      <c r="I48" s="9"/>
      <c r="J48" s="9"/>
      <c r="K48" s="9"/>
      <c r="L48" s="9"/>
    </row>
    <row r="49" spans="1:12" hidden="1" x14ac:dyDescent="0.25">
      <c r="A49" s="9"/>
      <c r="B49" s="9"/>
      <c r="C49" s="9"/>
      <c r="D49" s="9"/>
      <c r="E49" s="9"/>
      <c r="F49" s="9"/>
      <c r="G49" s="9"/>
      <c r="H49" s="9"/>
      <c r="I49" s="9"/>
      <c r="J49" s="9"/>
      <c r="K49" s="9"/>
      <c r="L49" s="9"/>
    </row>
    <row r="50" spans="1:12" hidden="1" x14ac:dyDescent="0.25">
      <c r="A50" s="9"/>
      <c r="B50" s="9"/>
      <c r="C50" s="9"/>
      <c r="D50" s="9"/>
      <c r="E50" s="9"/>
      <c r="F50" s="9"/>
      <c r="G50" s="9"/>
      <c r="H50" s="9"/>
      <c r="I50" s="9"/>
      <c r="J50" s="9"/>
      <c r="K50" s="9"/>
      <c r="L50" s="9"/>
    </row>
    <row r="51" spans="1:12" hidden="1" x14ac:dyDescent="0.25">
      <c r="A51" s="9"/>
      <c r="B51" s="9"/>
      <c r="C51" s="9"/>
      <c r="D51" s="9"/>
      <c r="E51" s="9"/>
      <c r="F51" s="9"/>
      <c r="G51" s="9"/>
      <c r="H51" s="9"/>
      <c r="I51" s="9"/>
      <c r="J51" s="9"/>
      <c r="K51" s="9"/>
      <c r="L51" s="9"/>
    </row>
    <row r="52" spans="1:12" hidden="1" x14ac:dyDescent="0.25">
      <c r="A52" s="9"/>
      <c r="B52" s="9"/>
      <c r="C52" s="9"/>
      <c r="D52" s="9"/>
      <c r="E52" s="9"/>
      <c r="F52" s="9"/>
      <c r="G52" s="9"/>
      <c r="H52" s="9"/>
      <c r="I52" s="9"/>
      <c r="J52" s="9"/>
      <c r="K52" s="9"/>
      <c r="L52" s="9"/>
    </row>
    <row r="53" spans="1:12" hidden="1" x14ac:dyDescent="0.25">
      <c r="A53" s="9"/>
      <c r="B53" s="9"/>
      <c r="C53" s="9"/>
      <c r="D53" s="9"/>
      <c r="E53" s="9"/>
      <c r="F53" s="9"/>
      <c r="G53" s="9"/>
      <c r="H53" s="9"/>
      <c r="I53" s="9"/>
      <c r="J53" s="9"/>
      <c r="K53" s="9"/>
      <c r="L53" s="9"/>
    </row>
    <row r="54" spans="1:12" hidden="1" x14ac:dyDescent="0.25">
      <c r="A54" s="9"/>
      <c r="B54" s="9"/>
      <c r="C54" s="9"/>
      <c r="D54" s="9"/>
      <c r="E54" s="9"/>
      <c r="F54" s="9"/>
      <c r="G54" s="9"/>
      <c r="H54" s="9"/>
      <c r="I54" s="9"/>
      <c r="J54" s="9"/>
      <c r="K54" s="9"/>
      <c r="L54" s="9"/>
    </row>
    <row r="55" spans="1:12" hidden="1" x14ac:dyDescent="0.25">
      <c r="A55" s="9"/>
      <c r="B55" s="9"/>
      <c r="C55" s="9"/>
      <c r="D55" s="9"/>
      <c r="E55" s="9"/>
      <c r="F55" s="9"/>
      <c r="G55" s="9"/>
      <c r="H55" s="9"/>
      <c r="I55" s="9"/>
      <c r="J55" s="9"/>
      <c r="K55" s="9"/>
      <c r="L55" s="9"/>
    </row>
    <row r="56" spans="1:12" hidden="1" x14ac:dyDescent="0.25">
      <c r="A56" s="9"/>
      <c r="B56" s="9"/>
      <c r="C56" s="9"/>
      <c r="D56" s="9"/>
      <c r="E56" s="9"/>
      <c r="F56" s="9"/>
      <c r="G56" s="9"/>
      <c r="H56" s="9"/>
      <c r="I56" s="9"/>
      <c r="J56" s="9"/>
      <c r="K56" s="9"/>
      <c r="L56" s="9"/>
    </row>
    <row r="57" spans="1:12" hidden="1" x14ac:dyDescent="0.25">
      <c r="A57" s="9"/>
      <c r="B57" s="9"/>
      <c r="C57" s="9"/>
      <c r="D57" s="9"/>
      <c r="E57" s="9"/>
      <c r="F57" s="9"/>
      <c r="G57" s="9"/>
      <c r="H57" s="9"/>
      <c r="I57" s="9"/>
      <c r="J57" s="9"/>
      <c r="K57" s="9"/>
      <c r="L57" s="9"/>
    </row>
    <row r="58" spans="1:12" hidden="1" x14ac:dyDescent="0.25">
      <c r="A58" s="9"/>
      <c r="B58" s="9"/>
      <c r="C58" s="9"/>
      <c r="D58" s="9"/>
      <c r="E58" s="9"/>
      <c r="F58" s="9"/>
      <c r="G58" s="9"/>
      <c r="H58" s="9"/>
      <c r="I58" s="9"/>
      <c r="J58" s="9"/>
      <c r="K58" s="9"/>
      <c r="L58" s="9"/>
    </row>
    <row r="59" spans="1:12" hidden="1" x14ac:dyDescent="0.25">
      <c r="A59" s="9"/>
      <c r="B59" s="9"/>
      <c r="C59" s="9"/>
      <c r="D59" s="9"/>
      <c r="E59" s="9"/>
      <c r="F59" s="9"/>
      <c r="G59" s="9"/>
      <c r="H59" s="9"/>
      <c r="I59" s="9"/>
      <c r="J59" s="9"/>
      <c r="K59" s="9"/>
      <c r="L59" s="9"/>
    </row>
    <row r="60" spans="1:12" hidden="1" x14ac:dyDescent="0.25">
      <c r="A60" s="9"/>
      <c r="B60" s="9"/>
      <c r="C60" s="9"/>
      <c r="D60" s="9"/>
      <c r="E60" s="9"/>
      <c r="F60" s="9"/>
      <c r="G60" s="9"/>
      <c r="H60" s="9"/>
      <c r="I60" s="9"/>
      <c r="J60" s="9"/>
      <c r="K60" s="9"/>
      <c r="L60" s="9"/>
    </row>
    <row r="61" spans="1:12" hidden="1" x14ac:dyDescent="0.25">
      <c r="A61" s="9"/>
      <c r="B61" s="9"/>
      <c r="C61" s="9"/>
      <c r="D61" s="9"/>
      <c r="E61" s="9"/>
      <c r="F61" s="9"/>
      <c r="G61" s="9"/>
      <c r="H61" s="9"/>
      <c r="I61" s="9"/>
      <c r="J61" s="9"/>
      <c r="K61" s="9"/>
      <c r="L61" s="9"/>
    </row>
    <row r="62" spans="1:12" hidden="1" x14ac:dyDescent="0.25">
      <c r="A62" s="9"/>
      <c r="B62" s="9"/>
      <c r="C62" s="9"/>
      <c r="D62" s="9"/>
      <c r="E62" s="9"/>
      <c r="F62" s="9"/>
      <c r="G62" s="9"/>
      <c r="H62" s="9"/>
      <c r="I62" s="9"/>
      <c r="J62" s="9"/>
      <c r="K62" s="9"/>
      <c r="L62" s="9"/>
    </row>
    <row r="63" spans="1:12" hidden="1" x14ac:dyDescent="0.25">
      <c r="A63" s="9"/>
      <c r="B63" s="9"/>
      <c r="C63" s="9"/>
      <c r="D63" s="9"/>
      <c r="E63" s="9"/>
      <c r="F63" s="9"/>
      <c r="G63" s="9"/>
      <c r="H63" s="9"/>
      <c r="I63" s="9"/>
      <c r="J63" s="9"/>
      <c r="K63" s="9"/>
      <c r="L63" s="9"/>
    </row>
    <row r="64" spans="1:12" hidden="1" x14ac:dyDescent="0.25">
      <c r="A64" s="9"/>
      <c r="B64" s="9"/>
      <c r="C64" s="9"/>
      <c r="D64" s="9"/>
      <c r="E64" s="9"/>
      <c r="F64" s="9"/>
      <c r="G64" s="9"/>
      <c r="H64" s="9"/>
      <c r="I64" s="9"/>
      <c r="J64" s="9"/>
      <c r="K64" s="9"/>
      <c r="L64" s="9"/>
    </row>
    <row r="65" spans="1:12" hidden="1" x14ac:dyDescent="0.25">
      <c r="A65" s="9"/>
      <c r="B65" s="9"/>
      <c r="C65" s="9"/>
      <c r="D65" s="9"/>
      <c r="E65" s="9"/>
      <c r="F65" s="9"/>
      <c r="G65" s="9"/>
      <c r="H65" s="9"/>
      <c r="I65" s="9"/>
      <c r="J65" s="9"/>
      <c r="K65" s="9"/>
      <c r="L65" s="9"/>
    </row>
    <row r="66" spans="1:12" hidden="1" x14ac:dyDescent="0.25">
      <c r="A66" s="9"/>
      <c r="B66" s="9"/>
      <c r="C66" s="9"/>
      <c r="D66" s="9"/>
      <c r="E66" s="9"/>
      <c r="F66" s="9"/>
      <c r="G66" s="9"/>
      <c r="H66" s="9"/>
      <c r="I66" s="9"/>
      <c r="J66" s="9"/>
      <c r="K66" s="9"/>
      <c r="L66" s="9"/>
    </row>
    <row r="67" spans="1:12" hidden="1" x14ac:dyDescent="0.25">
      <c r="A67" s="9"/>
      <c r="B67" s="9"/>
      <c r="C67" s="9"/>
      <c r="D67" s="9"/>
      <c r="E67" s="9"/>
      <c r="F67" s="9"/>
      <c r="G67" s="9"/>
      <c r="H67" s="9"/>
      <c r="I67" s="9"/>
      <c r="J67" s="9"/>
      <c r="K67" s="9"/>
      <c r="L67" s="9"/>
    </row>
    <row r="68" spans="1:12" hidden="1" x14ac:dyDescent="0.25">
      <c r="A68" s="9"/>
      <c r="B68" s="9"/>
      <c r="C68" s="9"/>
      <c r="D68" s="9"/>
      <c r="E68" s="9"/>
      <c r="F68" s="9"/>
      <c r="G68" s="9"/>
      <c r="H68" s="9"/>
      <c r="I68" s="9"/>
      <c r="J68" s="9"/>
      <c r="K68" s="9"/>
      <c r="L68" s="9"/>
    </row>
    <row r="69" spans="1:12" hidden="1" x14ac:dyDescent="0.25">
      <c r="A69" s="9"/>
      <c r="B69" s="9"/>
      <c r="C69" s="9"/>
      <c r="D69" s="9"/>
      <c r="E69" s="9"/>
      <c r="F69" s="9"/>
      <c r="G69" s="9"/>
      <c r="H69" s="9"/>
      <c r="I69" s="9"/>
      <c r="J69" s="9"/>
      <c r="K69" s="9"/>
      <c r="L69" s="9"/>
    </row>
    <row r="70" spans="1:12" hidden="1" x14ac:dyDescent="0.25">
      <c r="A70" s="9"/>
      <c r="B70" s="9"/>
      <c r="C70" s="9"/>
      <c r="D70" s="9"/>
      <c r="E70" s="9"/>
      <c r="F70" s="9"/>
      <c r="G70" s="9"/>
      <c r="H70" s="9"/>
      <c r="I70" s="9"/>
      <c r="J70" s="9"/>
      <c r="K70" s="9"/>
      <c r="L70" s="9"/>
    </row>
    <row r="71" spans="1:12" hidden="1" x14ac:dyDescent="0.25">
      <c r="A71" s="9"/>
      <c r="B71" s="9"/>
      <c r="C71" s="9"/>
      <c r="D71" s="9"/>
      <c r="E71" s="9"/>
      <c r="F71" s="9"/>
      <c r="G71" s="9"/>
      <c r="H71" s="9"/>
      <c r="I71" s="9"/>
      <c r="J71" s="9"/>
      <c r="K71" s="9"/>
      <c r="L71" s="9"/>
    </row>
    <row r="72" spans="1:12" hidden="1" x14ac:dyDescent="0.25">
      <c r="A72" s="9"/>
      <c r="B72" s="9"/>
      <c r="C72" s="9"/>
      <c r="D72" s="9"/>
      <c r="E72" s="9"/>
      <c r="F72" s="9"/>
      <c r="G72" s="9"/>
      <c r="H72" s="9"/>
      <c r="I72" s="9"/>
      <c r="J72" s="9"/>
      <c r="K72" s="9"/>
      <c r="L72" s="9"/>
    </row>
    <row r="73" spans="1:12" hidden="1" x14ac:dyDescent="0.25"/>
    <row r="74" spans="1:12" hidden="1" x14ac:dyDescent="0.25"/>
    <row r="75" spans="1:12" hidden="1" x14ac:dyDescent="0.25"/>
  </sheetData>
  <sheetProtection algorithmName="SHA-512" hashValue="BzzyjJnSP32JlJejRIvu7WEQi4mCQ+Yzh+YioqXoi+gvunVUCajEDcIWcjHAxXPFh87R0T4fnxJppWMtVQ/LkA==" saltValue="wX/Nkldd98lkILbDxyUz6Q==" spinCount="100000" sheet="1" objects="1" scenarios="1"/>
  <mergeCells count="4">
    <mergeCell ref="C4:F5"/>
    <mergeCell ref="G4:I5"/>
    <mergeCell ref="A1:L1"/>
    <mergeCell ref="A2:L2"/>
  </mergeCells>
  <conditionalFormatting sqref="G4">
    <cfRule type="expression" dxfId="625" priority="2">
      <formula>$N$6&gt;60</formula>
    </cfRule>
    <cfRule type="expression" dxfId="624" priority="3">
      <formula>AND($N$6&lt;60,$N$6&gt;51)</formula>
    </cfRule>
    <cfRule type="expression" dxfId="623" priority="4">
      <formula>AND($N$6&lt;52,$N$6&gt;43)</formula>
    </cfRule>
    <cfRule type="expression" dxfId="622" priority="5">
      <formula>$N$6&lt;32</formula>
    </cfRule>
    <cfRule type="expression" dxfId="621" priority="6">
      <formula>AND($N$6&lt;44,$N$6&gt;31)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8AB27"/>
  </sheetPr>
  <dimension ref="A1:Q56"/>
  <sheetViews>
    <sheetView showRowColHeaders="0" zoomScale="90" zoomScaleNormal="90" workbookViewId="0">
      <selection activeCell="E9" sqref="E9:F9"/>
    </sheetView>
  </sheetViews>
  <sheetFormatPr defaultColWidth="0" defaultRowHeight="0" customHeight="1" zeroHeight="1" x14ac:dyDescent="0.25"/>
  <cols>
    <col min="1" max="1" width="4.7109375" customWidth="1"/>
    <col min="2" max="2" width="33.42578125" customWidth="1"/>
    <col min="3" max="3" width="4.7109375" customWidth="1"/>
    <col min="4" max="4" width="10.7109375" customWidth="1"/>
    <col min="5" max="6" width="20.5703125" customWidth="1"/>
    <col min="7" max="8" width="19.7109375" customWidth="1"/>
    <col min="9" max="9" width="10.28515625" customWidth="1"/>
    <col min="10" max="10" width="8" customWidth="1"/>
    <col min="11" max="11" width="4.85546875" customWidth="1"/>
    <col min="12" max="12" width="4" customWidth="1"/>
    <col min="13" max="17" width="0" hidden="1" customWidth="1"/>
    <col min="18" max="16384" width="9.140625" hidden="1"/>
  </cols>
  <sheetData>
    <row r="1" spans="1:12" ht="33.75" customHeight="1" x14ac:dyDescent="0.25">
      <c r="A1" s="205"/>
      <c r="B1" s="1607" t="s">
        <v>20</v>
      </c>
      <c r="C1" s="206"/>
      <c r="D1" s="193"/>
      <c r="E1" s="194"/>
      <c r="F1" s="194"/>
      <c r="G1" s="194"/>
      <c r="H1" s="194"/>
      <c r="I1" s="194"/>
      <c r="J1" s="194"/>
      <c r="K1" s="194"/>
      <c r="L1" s="195"/>
    </row>
    <row r="2" spans="1:12" ht="28.5" customHeight="1" x14ac:dyDescent="0.25">
      <c r="A2" s="207"/>
      <c r="B2" s="1608"/>
      <c r="C2" s="208"/>
      <c r="D2" s="196"/>
      <c r="E2" s="197"/>
      <c r="F2" s="197"/>
      <c r="G2" s="197"/>
      <c r="H2" s="197"/>
      <c r="I2" s="197"/>
      <c r="J2" s="197"/>
      <c r="K2" s="197"/>
      <c r="L2" s="198"/>
    </row>
    <row r="3" spans="1:12" ht="20.25" customHeight="1" x14ac:dyDescent="0.25">
      <c r="A3" s="207"/>
      <c r="B3" s="1608"/>
      <c r="C3" s="208"/>
      <c r="D3" s="196"/>
      <c r="E3" s="197"/>
      <c r="F3" s="197"/>
      <c r="G3" s="197"/>
      <c r="H3" s="197"/>
      <c r="I3" s="197"/>
      <c r="J3" s="197"/>
      <c r="K3" s="197"/>
      <c r="L3" s="198"/>
    </row>
    <row r="4" spans="1:12" ht="15" customHeight="1" x14ac:dyDescent="0.25">
      <c r="A4" s="207"/>
      <c r="B4" s="1614" t="s">
        <v>1801</v>
      </c>
      <c r="C4" s="209"/>
      <c r="D4" s="196"/>
      <c r="E4" s="1609" t="s">
        <v>136</v>
      </c>
      <c r="F4" s="1610"/>
      <c r="G4" s="1613" t="s">
        <v>137</v>
      </c>
      <c r="H4" s="1613" t="s">
        <v>19</v>
      </c>
      <c r="I4" s="197"/>
      <c r="J4" s="197"/>
      <c r="K4" s="197"/>
      <c r="L4" s="198"/>
    </row>
    <row r="5" spans="1:12" ht="15" customHeight="1" x14ac:dyDescent="0.25">
      <c r="A5" s="207"/>
      <c r="B5" s="1614"/>
      <c r="C5" s="209"/>
      <c r="D5" s="196"/>
      <c r="E5" s="1611"/>
      <c r="F5" s="1612"/>
      <c r="G5" s="1613"/>
      <c r="H5" s="1613"/>
      <c r="I5" s="197"/>
      <c r="J5" s="197"/>
      <c r="K5" s="197"/>
      <c r="L5" s="198"/>
    </row>
    <row r="6" spans="1:12" ht="23.25" customHeight="1" x14ac:dyDescent="0.25">
      <c r="A6" s="210"/>
      <c r="B6" s="1614"/>
      <c r="C6" s="209"/>
      <c r="D6" s="196"/>
      <c r="E6" s="1615" t="s">
        <v>366</v>
      </c>
      <c r="F6" s="1616"/>
      <c r="G6" s="104">
        <v>6</v>
      </c>
      <c r="H6" s="104">
        <f>MIN(6,SUM('E-1 Space cooling'!H12:H16))</f>
        <v>0</v>
      </c>
      <c r="I6" s="197"/>
      <c r="J6" s="197"/>
      <c r="K6" s="197"/>
      <c r="L6" s="198"/>
    </row>
    <row r="7" spans="1:12" ht="23.25" customHeight="1" x14ac:dyDescent="0.25">
      <c r="A7" s="210"/>
      <c r="B7" s="1614"/>
      <c r="C7" s="209"/>
      <c r="D7" s="196"/>
      <c r="E7" s="1615" t="s">
        <v>302</v>
      </c>
      <c r="F7" s="1616"/>
      <c r="G7" s="104">
        <v>6</v>
      </c>
      <c r="H7" s="104">
        <f>MIN(6,SUM('E-2 Artificial Lighting'!G12:G15))</f>
        <v>0</v>
      </c>
      <c r="I7" s="197"/>
      <c r="J7" s="197"/>
      <c r="K7" s="197"/>
      <c r="L7" s="198"/>
    </row>
    <row r="8" spans="1:12" ht="23.25" customHeight="1" x14ac:dyDescent="0.25">
      <c r="A8" s="210"/>
      <c r="B8" s="1614"/>
      <c r="C8" s="209"/>
      <c r="D8" s="196"/>
      <c r="E8" s="1615" t="s">
        <v>303</v>
      </c>
      <c r="F8" s="1616"/>
      <c r="G8" s="104">
        <v>4</v>
      </c>
      <c r="H8" s="104">
        <f ca="1">'E-3 Energy Efficient Appliances'!G12</f>
        <v>0</v>
      </c>
      <c r="I8" s="197"/>
      <c r="J8" s="197"/>
      <c r="K8" s="197"/>
      <c r="L8" s="198"/>
    </row>
    <row r="9" spans="1:12" ht="23.25" customHeight="1" x14ac:dyDescent="0.25">
      <c r="A9" s="210"/>
      <c r="B9" s="1614"/>
      <c r="C9" s="209"/>
      <c r="D9" s="196"/>
      <c r="E9" s="1615" t="s">
        <v>304</v>
      </c>
      <c r="F9" s="1616"/>
      <c r="G9" s="104">
        <v>2</v>
      </c>
      <c r="H9" s="104">
        <f>'E-4 Energy Monitoring'!L16</f>
        <v>0</v>
      </c>
      <c r="I9" s="197"/>
      <c r="J9" s="197"/>
      <c r="K9" s="197"/>
      <c r="L9" s="198"/>
    </row>
    <row r="10" spans="1:12" ht="26.25" customHeight="1" x14ac:dyDescent="0.25">
      <c r="A10" s="210"/>
      <c r="B10" s="1614"/>
      <c r="C10" s="209"/>
      <c r="D10" s="196"/>
      <c r="E10" s="1605" t="s">
        <v>29</v>
      </c>
      <c r="F10" s="1606"/>
      <c r="G10" s="81">
        <f>SUM(G6:G9)</f>
        <v>18</v>
      </c>
      <c r="H10" s="81">
        <f ca="1">SUM(H6:H9)</f>
        <v>0</v>
      </c>
      <c r="I10" s="197"/>
      <c r="J10" s="197"/>
      <c r="K10" s="197"/>
      <c r="L10" s="198"/>
    </row>
    <row r="11" spans="1:12" ht="15" customHeight="1" x14ac:dyDescent="0.25">
      <c r="A11" s="210"/>
      <c r="B11" s="211"/>
      <c r="C11" s="209"/>
      <c r="D11" s="196"/>
      <c r="E11" s="197"/>
      <c r="F11" s="197"/>
      <c r="G11" s="197"/>
      <c r="H11" s="197"/>
      <c r="I11" s="197"/>
      <c r="J11" s="197"/>
      <c r="K11" s="197"/>
      <c r="L11" s="198"/>
    </row>
    <row r="12" spans="1:12" ht="15" customHeight="1" x14ac:dyDescent="0.25">
      <c r="A12" s="210"/>
      <c r="B12" s="211"/>
      <c r="C12" s="209"/>
      <c r="D12" s="196"/>
      <c r="E12" s="197"/>
      <c r="F12" s="197"/>
      <c r="G12" s="197"/>
      <c r="H12" s="197"/>
      <c r="I12" s="197"/>
      <c r="J12" s="197"/>
      <c r="K12" s="197"/>
      <c r="L12" s="198"/>
    </row>
    <row r="13" spans="1:12" ht="15" customHeight="1" x14ac:dyDescent="0.25">
      <c r="A13" s="212"/>
      <c r="B13" s="213"/>
      <c r="C13" s="214"/>
      <c r="D13" s="199"/>
      <c r="E13" s="199"/>
      <c r="F13" s="199"/>
      <c r="G13" s="199"/>
      <c r="H13" s="199"/>
      <c r="I13" s="199"/>
      <c r="J13" s="200"/>
      <c r="K13" s="200"/>
      <c r="L13" s="201"/>
    </row>
    <row r="14" spans="1:12" ht="15" hidden="1" customHeight="1" x14ac:dyDescent="0.25">
      <c r="A14" s="80"/>
      <c r="B14" s="204"/>
      <c r="C14" s="109"/>
      <c r="D14" s="1"/>
      <c r="E14" s="200"/>
      <c r="F14" s="200"/>
      <c r="G14" s="200"/>
      <c r="H14" s="200"/>
      <c r="I14" s="1"/>
      <c r="J14" s="1"/>
      <c r="K14" s="1"/>
      <c r="L14" s="1"/>
    </row>
    <row r="15" spans="1:12" ht="15" hidden="1" customHeight="1" x14ac:dyDescent="0.25">
      <c r="A15" s="80"/>
      <c r="B15" s="204"/>
      <c r="C15" s="109"/>
      <c r="D15" s="1"/>
      <c r="E15" s="1"/>
      <c r="F15" s="1"/>
      <c r="G15" s="1"/>
      <c r="H15" s="1"/>
      <c r="I15" s="1"/>
      <c r="J15" s="1"/>
      <c r="K15" s="1"/>
      <c r="L15" s="1"/>
    </row>
    <row r="16" spans="1:12" ht="15" hidden="1" customHeight="1" x14ac:dyDescent="0.25">
      <c r="A16" s="80"/>
      <c r="B16" s="204"/>
      <c r="C16" s="109"/>
      <c r="D16" s="1"/>
      <c r="E16" s="1"/>
      <c r="F16" s="1"/>
      <c r="G16" s="1"/>
      <c r="H16" s="1"/>
      <c r="I16" s="1"/>
      <c r="J16" s="1"/>
      <c r="K16" s="1"/>
      <c r="L16" s="1"/>
    </row>
    <row r="17" spans="1:12" ht="15" hidden="1" customHeight="1" x14ac:dyDescent="0.25">
      <c r="A17" s="80"/>
      <c r="B17" s="204"/>
      <c r="C17" s="109"/>
      <c r="D17" s="1"/>
      <c r="E17" s="1"/>
      <c r="F17" s="1"/>
      <c r="G17" s="1"/>
      <c r="H17" s="1"/>
      <c r="I17" s="1"/>
      <c r="J17" s="1"/>
      <c r="K17" s="1"/>
      <c r="L17" s="1"/>
    </row>
    <row r="18" spans="1:12" ht="15" hidden="1" customHeight="1" x14ac:dyDescent="0.25">
      <c r="A18" s="80"/>
      <c r="B18" s="204"/>
      <c r="C18" s="109"/>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D45" s="1"/>
      <c r="E45" s="1"/>
      <c r="F45" s="1"/>
      <c r="G45" s="1"/>
      <c r="H45" s="1"/>
      <c r="I45" s="1"/>
    </row>
    <row r="46" spans="1:12" ht="15" hidden="1" customHeight="1" x14ac:dyDescent="0.25">
      <c r="D46" s="1"/>
      <c r="E46" s="1"/>
      <c r="F46" s="1"/>
      <c r="G46" s="1"/>
      <c r="H46" s="1"/>
    </row>
    <row r="47" spans="1:12" ht="15" hidden="1" customHeight="1" x14ac:dyDescent="0.25">
      <c r="D47" s="1"/>
    </row>
    <row r="48" spans="1:12" ht="15" hidden="1" customHeight="1" x14ac:dyDescent="0.25">
      <c r="D48" s="1"/>
    </row>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0" hidden="1" customHeight="1" x14ac:dyDescent="0.25"/>
  </sheetData>
  <sheetProtection algorithmName="SHA-512" hashValue="MasKRbMGSQpsPwSSowCjQNwOX+h0gMpvabSMNxYAhgAZDOK88YFM/go+xrMfvbewX7Jl8k6sTS9Pk2ORdMXTPg==" saltValue="uw/Vsn9IGY9XM5Uwa+NVOw==" spinCount="100000" sheet="1" objects="1" scenarios="1"/>
  <mergeCells count="10">
    <mergeCell ref="H4:H5"/>
    <mergeCell ref="E8:F8"/>
    <mergeCell ref="E6:F6"/>
    <mergeCell ref="E7:F7"/>
    <mergeCell ref="E9:F9"/>
    <mergeCell ref="E10:F10"/>
    <mergeCell ref="B1:B3"/>
    <mergeCell ref="E4:F5"/>
    <mergeCell ref="G4:G5"/>
    <mergeCell ref="B4:B10"/>
  </mergeCells>
  <hyperlinks>
    <hyperlink ref="E6" location="'E-3 Home cooling'!A1" tooltip="E-3 Home Cooling" display="E-3 Home Cooling"/>
    <hyperlink ref="E7" location="'E-4 Artificial Lighting'!A1" tooltip="E-4 Artificial Lighting" display="E-4 Artificial Lighting"/>
    <hyperlink ref="E8" location="'E-6 Energy Efficient Appliances'!A1" tooltip="E-6 Energy Efficient Appliances" display="E-6 Energy Efficient Appliances"/>
    <hyperlink ref="E9" location="'E-7 Energy Monitors '!A1" tooltip="E-7 Energy Monitors " display="E-7 Energy Monitors "/>
    <hyperlink ref="E9:F9" location="'E-4 Energy Monitoring'!D3" tooltip="E-4 Energy Monitoring" display="E-4 Energy Monitoring"/>
    <hyperlink ref="E8:F8" location="'E-3 Energy Efficient Appliances'!B3" tooltip="E-3 Energy Efficient Appliances" display="E-3 Energy Efficient Appliances"/>
    <hyperlink ref="E6:F6" location="'E-1 Space cooling'!B3" tooltip="E-1 Space Cooling" display="E-1 Space Cooling"/>
    <hyperlink ref="E7:F7" location="'E-2 Artificial Lighting'!B3" tooltip="E-2 Artificial Lighting" display="E-2 Artificial Lighting"/>
  </hyperlink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8AB27"/>
  </sheetPr>
  <dimension ref="A1:Y478"/>
  <sheetViews>
    <sheetView showRowColHeaders="0" zoomScaleNormal="100" workbookViewId="0">
      <pane ySplit="8" topLeftCell="A9" activePane="bottomLeft" state="frozen"/>
      <selection sqref="A1:J1"/>
      <selection pane="bottomLeft" activeCell="N2" sqref="N2"/>
    </sheetView>
  </sheetViews>
  <sheetFormatPr defaultColWidth="0" defaultRowHeight="15" zeroHeight="1" x14ac:dyDescent="0.25"/>
  <cols>
    <col min="1" max="1" width="3.7109375" customWidth="1"/>
    <col min="2" max="2" width="18.140625" customWidth="1"/>
    <col min="3" max="3" width="17.42578125" customWidth="1"/>
    <col min="4" max="4" width="19.42578125" customWidth="1"/>
    <col min="5" max="5" width="16" customWidth="1"/>
    <col min="6" max="6" width="15.42578125" customWidth="1"/>
    <col min="7" max="7" width="18.28515625" customWidth="1"/>
    <col min="8" max="8" width="16.85546875" customWidth="1"/>
    <col min="9" max="9" width="17.7109375" customWidth="1"/>
    <col min="10" max="10" width="15.7109375" customWidth="1"/>
    <col min="11" max="11" width="10.42578125" customWidth="1"/>
    <col min="12" max="12" width="8.140625" customWidth="1"/>
    <col min="13" max="13" width="6.42578125" customWidth="1"/>
    <col min="14" max="14" width="7.7109375" customWidth="1"/>
    <col min="15" max="24" width="23" hidden="1" customWidth="1"/>
    <col min="25" max="16384" width="9.140625" hidden="1"/>
  </cols>
  <sheetData>
    <row r="1" spans="1:19" ht="25.5" customHeight="1" x14ac:dyDescent="0.25">
      <c r="A1" s="1617" t="s">
        <v>366</v>
      </c>
      <c r="B1" s="1617"/>
      <c r="C1" s="1617"/>
      <c r="D1" s="1617"/>
      <c r="E1" s="1617"/>
      <c r="F1" s="1617"/>
      <c r="G1" s="1617"/>
      <c r="H1" s="1617"/>
      <c r="I1" s="1617"/>
      <c r="J1" s="1617"/>
      <c r="K1" s="1617"/>
      <c r="L1" s="1617"/>
      <c r="M1" s="1617"/>
      <c r="N1" s="1617"/>
      <c r="O1" s="37"/>
      <c r="P1" s="37"/>
      <c r="Q1" s="37"/>
      <c r="R1" s="37"/>
      <c r="S1" s="37"/>
    </row>
    <row r="2" spans="1:19" ht="15" customHeight="1" x14ac:dyDescent="0.25">
      <c r="A2" s="4"/>
      <c r="B2" s="4"/>
      <c r="C2" s="4"/>
      <c r="D2" s="4"/>
      <c r="E2" s="4"/>
      <c r="F2" s="4"/>
      <c r="G2" s="5"/>
      <c r="H2" s="5"/>
      <c r="I2" s="1694" t="s">
        <v>161</v>
      </c>
      <c r="J2" s="1694"/>
      <c r="K2" s="1694"/>
      <c r="L2" s="1694"/>
      <c r="M2" s="1694"/>
      <c r="N2" s="131" t="s">
        <v>24</v>
      </c>
      <c r="O2" s="37"/>
      <c r="P2" s="37"/>
      <c r="Q2" s="37"/>
      <c r="R2" s="37"/>
      <c r="S2" s="37"/>
    </row>
    <row r="3" spans="1:19" ht="15" customHeight="1" x14ac:dyDescent="0.25">
      <c r="A3" s="4"/>
      <c r="B3" s="4"/>
      <c r="C3" s="4"/>
      <c r="D3" s="4"/>
      <c r="E3" s="4"/>
      <c r="F3" s="4"/>
      <c r="G3" s="5"/>
      <c r="H3" s="5"/>
      <c r="I3" s="1694"/>
      <c r="J3" s="1694"/>
      <c r="K3" s="1694"/>
      <c r="L3" s="1694"/>
      <c r="M3" s="1694"/>
      <c r="N3" s="131" t="s">
        <v>25</v>
      </c>
      <c r="O3" s="37"/>
      <c r="P3" s="37"/>
      <c r="Q3" s="37"/>
      <c r="R3" s="37"/>
      <c r="S3" s="37"/>
    </row>
    <row r="4" spans="1:19" ht="15" customHeight="1" x14ac:dyDescent="0.25">
      <c r="A4" s="4"/>
      <c r="B4" s="4"/>
      <c r="C4" s="4"/>
      <c r="D4" s="4"/>
      <c r="E4" s="4"/>
      <c r="F4" s="4"/>
      <c r="G4" s="5"/>
      <c r="H4" s="5"/>
      <c r="I4" s="1695"/>
      <c r="J4" s="1695"/>
      <c r="K4" s="1695"/>
      <c r="L4" s="1695"/>
      <c r="M4" s="1695"/>
      <c r="N4" s="131" t="s">
        <v>26</v>
      </c>
      <c r="O4" s="37"/>
      <c r="P4" s="37"/>
      <c r="Q4" s="37"/>
      <c r="R4" s="37"/>
      <c r="S4" s="37"/>
    </row>
    <row r="5" spans="1:19" s="37" customFormat="1" ht="21" customHeight="1" x14ac:dyDescent="0.25">
      <c r="A5" s="1704" t="s">
        <v>2564</v>
      </c>
      <c r="B5" s="1705"/>
      <c r="C5" s="1705"/>
      <c r="D5" s="1705"/>
      <c r="E5" s="1705"/>
      <c r="F5" s="1705"/>
      <c r="G5" s="1705"/>
      <c r="H5" s="1705"/>
      <c r="I5" s="1705"/>
      <c r="J5" s="1705"/>
      <c r="K5" s="1705"/>
      <c r="L5" s="1705"/>
      <c r="M5" s="1705"/>
      <c r="N5" s="1706"/>
    </row>
    <row r="6" spans="1:19" s="37" customFormat="1" ht="21" customHeight="1" x14ac:dyDescent="0.25">
      <c r="A6" s="1707"/>
      <c r="B6" s="1708"/>
      <c r="C6" s="1708"/>
      <c r="D6" s="1708"/>
      <c r="E6" s="1708"/>
      <c r="F6" s="1708"/>
      <c r="G6" s="1708"/>
      <c r="H6" s="1708"/>
      <c r="I6" s="1708"/>
      <c r="J6" s="1708"/>
      <c r="K6" s="1708"/>
      <c r="L6" s="1708"/>
      <c r="M6" s="1708"/>
      <c r="N6" s="1709"/>
    </row>
    <row r="7" spans="1:19" s="37" customFormat="1" ht="21" customHeight="1" x14ac:dyDescent="0.25">
      <c r="A7" s="1710"/>
      <c r="B7" s="1711"/>
      <c r="C7" s="1711"/>
      <c r="D7" s="1711"/>
      <c r="E7" s="1711"/>
      <c r="F7" s="1711"/>
      <c r="G7" s="1711"/>
      <c r="H7" s="1711"/>
      <c r="I7" s="1711"/>
      <c r="J7" s="1711"/>
      <c r="K7" s="1711"/>
      <c r="L7" s="1711"/>
      <c r="M7" s="1711"/>
      <c r="N7" s="1712"/>
    </row>
    <row r="8" spans="1:19" s="37" customFormat="1" ht="12" customHeight="1" x14ac:dyDescent="0.25">
      <c r="A8" s="48"/>
      <c r="B8" s="49"/>
      <c r="C8" s="49"/>
      <c r="D8" s="49"/>
      <c r="E8" s="49"/>
      <c r="F8" s="48"/>
      <c r="G8" s="48"/>
      <c r="H8" s="48"/>
      <c r="I8" s="48"/>
      <c r="J8" s="48"/>
      <c r="K8" s="48"/>
      <c r="L8" s="48"/>
      <c r="M8" s="48"/>
      <c r="N8" s="48"/>
    </row>
    <row r="9" spans="1:19" s="37" customFormat="1" ht="18" customHeight="1" x14ac:dyDescent="0.25">
      <c r="A9" s="1676" t="s">
        <v>95</v>
      </c>
      <c r="B9" s="1676"/>
      <c r="C9" s="1676"/>
      <c r="D9" s="1676"/>
      <c r="E9" s="1676"/>
      <c r="F9" s="1676"/>
      <c r="G9" s="1676"/>
      <c r="H9" s="1676"/>
      <c r="I9" s="1676"/>
      <c r="J9" s="1676"/>
      <c r="K9" s="1676"/>
      <c r="L9" s="1676"/>
      <c r="M9" s="1676"/>
      <c r="N9" s="1676"/>
    </row>
    <row r="10" spans="1:19" s="37" customFormat="1" x14ac:dyDescent="0.25">
      <c r="A10" s="48"/>
      <c r="B10" s="49"/>
      <c r="C10" s="49"/>
      <c r="D10" s="49"/>
      <c r="E10" s="49"/>
      <c r="F10" s="48"/>
      <c r="G10" s="48"/>
      <c r="H10" s="48"/>
      <c r="I10" s="48"/>
      <c r="J10" s="48"/>
      <c r="K10" s="48"/>
      <c r="L10" s="48"/>
      <c r="M10" s="48"/>
      <c r="N10" s="48"/>
    </row>
    <row r="11" spans="1:19" s="37" customFormat="1" ht="18" customHeight="1" x14ac:dyDescent="0.25">
      <c r="A11" s="48"/>
      <c r="B11" s="1696" t="s">
        <v>96</v>
      </c>
      <c r="C11" s="1697"/>
      <c r="D11" s="1697"/>
      <c r="E11" s="1697"/>
      <c r="F11" s="1697"/>
      <c r="G11" s="282" t="s">
        <v>75</v>
      </c>
      <c r="H11" s="282" t="s">
        <v>19</v>
      </c>
      <c r="I11" s="74" t="s">
        <v>151</v>
      </c>
      <c r="J11" s="283"/>
      <c r="K11" s="48"/>
      <c r="L11" s="48"/>
      <c r="M11" s="48"/>
      <c r="N11" s="48"/>
    </row>
    <row r="12" spans="1:19" s="37" customFormat="1" ht="40.5" customHeight="1" x14ac:dyDescent="0.25">
      <c r="A12" s="48"/>
      <c r="B12" s="1701" t="s">
        <v>2110</v>
      </c>
      <c r="C12" s="1702" t="s">
        <v>111</v>
      </c>
      <c r="D12" s="1702" t="s">
        <v>111</v>
      </c>
      <c r="E12" s="1702" t="s">
        <v>111</v>
      </c>
      <c r="F12" s="1703"/>
      <c r="G12" s="279">
        <v>4</v>
      </c>
      <c r="H12" s="279">
        <f>C74</f>
        <v>0</v>
      </c>
      <c r="I12" s="311" t="str">
        <f>C75</f>
        <v>No</v>
      </c>
      <c r="J12" s="48"/>
      <c r="K12" s="48"/>
      <c r="L12" s="48"/>
      <c r="M12" s="48"/>
      <c r="N12" s="48"/>
      <c r="O12" s="37" t="str">
        <f>IF(H12&lt;&gt;0,IF(I12="No","No","Yes"),"Yes")</f>
        <v>Yes</v>
      </c>
    </row>
    <row r="13" spans="1:19" s="37" customFormat="1" ht="66" customHeight="1" x14ac:dyDescent="0.25">
      <c r="A13" s="48"/>
      <c r="B13" s="1698" t="s">
        <v>1321</v>
      </c>
      <c r="C13" s="1699"/>
      <c r="D13" s="1699"/>
      <c r="E13" s="1699"/>
      <c r="F13" s="1700"/>
      <c r="G13" s="136">
        <v>4</v>
      </c>
      <c r="H13" s="253">
        <f>C137</f>
        <v>0</v>
      </c>
      <c r="I13" s="279" t="str">
        <f>C138</f>
        <v>No</v>
      </c>
      <c r="J13" s="48"/>
      <c r="K13" s="48"/>
      <c r="L13" s="48"/>
      <c r="M13" s="48"/>
      <c r="N13" s="48"/>
      <c r="O13" s="37" t="str">
        <f t="shared" ref="O13:O16" si="0">IF(H13&lt;&gt;0,IF(I13="No","No","Yes"),"Yes")</f>
        <v>Yes</v>
      </c>
      <c r="Q13"/>
      <c r="R13"/>
    </row>
    <row r="14" spans="1:19" s="37" customFormat="1" ht="40.5" customHeight="1" x14ac:dyDescent="0.25">
      <c r="A14" s="48"/>
      <c r="B14" s="1698" t="s">
        <v>1983</v>
      </c>
      <c r="C14" s="1699" t="s">
        <v>112</v>
      </c>
      <c r="D14" s="1699" t="s">
        <v>112</v>
      </c>
      <c r="E14" s="1699" t="s">
        <v>112</v>
      </c>
      <c r="F14" s="1700">
        <v>1</v>
      </c>
      <c r="G14" s="136">
        <v>1</v>
      </c>
      <c r="H14" s="164">
        <f>C185</f>
        <v>0</v>
      </c>
      <c r="I14" s="164" t="str">
        <f>C186</f>
        <v>No</v>
      </c>
      <c r="J14" s="48"/>
      <c r="K14" s="48"/>
      <c r="L14" s="48"/>
      <c r="M14" s="48"/>
      <c r="N14" s="48"/>
      <c r="O14" s="37" t="str">
        <f t="shared" si="0"/>
        <v>Yes</v>
      </c>
      <c r="Q14"/>
      <c r="R14"/>
    </row>
    <row r="15" spans="1:19" ht="40.5" customHeight="1" x14ac:dyDescent="0.25">
      <c r="A15" s="4"/>
      <c r="B15" s="1698" t="s">
        <v>1620</v>
      </c>
      <c r="C15" s="1699" t="s">
        <v>112</v>
      </c>
      <c r="D15" s="1699" t="s">
        <v>112</v>
      </c>
      <c r="E15" s="1699" t="s">
        <v>112</v>
      </c>
      <c r="F15" s="1700">
        <v>1</v>
      </c>
      <c r="G15" s="312">
        <v>2</v>
      </c>
      <c r="H15" s="312">
        <f>C252</f>
        <v>0</v>
      </c>
      <c r="I15" s="312" t="str">
        <f>C253</f>
        <v>No</v>
      </c>
      <c r="J15" s="5"/>
      <c r="K15" s="5"/>
      <c r="L15" s="5"/>
      <c r="M15" s="48"/>
      <c r="N15" s="5"/>
      <c r="O15" s="37" t="str">
        <f t="shared" si="0"/>
        <v>Yes</v>
      </c>
    </row>
    <row r="16" spans="1:19" ht="66" customHeight="1" x14ac:dyDescent="0.25">
      <c r="A16" s="4"/>
      <c r="B16" s="1698" t="s">
        <v>2097</v>
      </c>
      <c r="C16" s="1699" t="s">
        <v>112</v>
      </c>
      <c r="D16" s="1699" t="s">
        <v>112</v>
      </c>
      <c r="E16" s="1699" t="s">
        <v>112</v>
      </c>
      <c r="F16" s="1700">
        <v>1</v>
      </c>
      <c r="G16" s="312">
        <v>2</v>
      </c>
      <c r="H16" s="312">
        <f>C326</f>
        <v>0</v>
      </c>
      <c r="I16" s="312" t="str">
        <f>C327</f>
        <v>No</v>
      </c>
      <c r="J16" s="5"/>
      <c r="K16" s="5"/>
      <c r="L16" s="5"/>
      <c r="M16" s="48"/>
      <c r="N16" s="5"/>
      <c r="O16" s="37" t="str">
        <f t="shared" si="0"/>
        <v>Yes</v>
      </c>
    </row>
    <row r="17" spans="1:14" ht="18" customHeight="1" x14ac:dyDescent="0.25">
      <c r="A17" s="4"/>
      <c r="B17" s="1713" t="s">
        <v>29</v>
      </c>
      <c r="C17" s="1714" t="s">
        <v>112</v>
      </c>
      <c r="D17" s="1714" t="s">
        <v>112</v>
      </c>
      <c r="E17" s="1714" t="s">
        <v>112</v>
      </c>
      <c r="F17" s="1715">
        <v>1</v>
      </c>
      <c r="G17" s="612">
        <v>6</v>
      </c>
      <c r="H17" s="612">
        <f>MIN(6,SUM(H12:H16))</f>
        <v>0</v>
      </c>
      <c r="I17" s="612" t="str">
        <f>IF(COUNTIF(I12:I16,"No")=5,"No",IF(COUNTIF(O12:O16,"Yes")=5,"Yes","No"))</f>
        <v>No</v>
      </c>
      <c r="J17" s="5"/>
      <c r="K17" s="5"/>
      <c r="L17" s="5"/>
      <c r="M17" s="48"/>
      <c r="N17" s="5"/>
    </row>
    <row r="18" spans="1:14" ht="15" customHeight="1" x14ac:dyDescent="0.25">
      <c r="A18" s="4"/>
      <c r="B18" s="4"/>
      <c r="C18" s="4"/>
      <c r="D18" s="4"/>
      <c r="E18" s="4"/>
      <c r="F18" s="4"/>
      <c r="G18" s="5"/>
      <c r="H18" s="5"/>
      <c r="I18" s="5"/>
      <c r="J18" s="5"/>
      <c r="K18" s="5"/>
      <c r="L18" s="5"/>
      <c r="M18" s="5"/>
      <c r="N18" s="5"/>
    </row>
    <row r="19" spans="1:14" ht="18" customHeight="1" x14ac:dyDescent="0.25">
      <c r="A19" s="1676" t="s">
        <v>367</v>
      </c>
      <c r="B19" s="1676"/>
      <c r="C19" s="1676"/>
      <c r="D19" s="1676"/>
      <c r="E19" s="1676"/>
      <c r="F19" s="1676"/>
      <c r="G19" s="1676"/>
      <c r="H19" s="1676"/>
      <c r="I19" s="1676"/>
      <c r="J19" s="1676"/>
      <c r="K19" s="1676"/>
      <c r="L19" s="1676"/>
      <c r="M19" s="1676"/>
      <c r="N19" s="1676"/>
    </row>
    <row r="20" spans="1:14" ht="15" customHeight="1" x14ac:dyDescent="0.25">
      <c r="A20" s="4"/>
      <c r="B20" s="4"/>
      <c r="C20" s="4"/>
      <c r="D20" s="4"/>
      <c r="E20" s="4"/>
      <c r="F20" s="4"/>
      <c r="G20" s="5"/>
      <c r="H20" s="5"/>
      <c r="I20" s="5"/>
      <c r="J20" s="5"/>
      <c r="K20" s="5"/>
      <c r="L20" s="5"/>
      <c r="M20" s="5"/>
      <c r="N20" s="5"/>
    </row>
    <row r="21" spans="1:14" ht="16.5" customHeight="1" x14ac:dyDescent="0.25">
      <c r="A21" s="173" t="s">
        <v>117</v>
      </c>
      <c r="B21" s="75"/>
      <c r="C21" s="75"/>
      <c r="D21" s="48"/>
      <c r="E21" s="48"/>
      <c r="F21" s="48"/>
      <c r="G21" s="48"/>
      <c r="H21" s="48"/>
      <c r="I21" s="48"/>
      <c r="J21" s="48"/>
      <c r="K21" s="48"/>
      <c r="L21" s="48"/>
      <c r="M21" s="48"/>
      <c r="N21" s="48"/>
    </row>
    <row r="22" spans="1:14" x14ac:dyDescent="0.25">
      <c r="A22" s="48"/>
      <c r="B22" s="48"/>
      <c r="C22" s="48"/>
      <c r="D22" s="48"/>
      <c r="E22" s="48"/>
      <c r="F22" s="48"/>
      <c r="G22" s="48"/>
      <c r="H22" s="48"/>
      <c r="I22" s="48"/>
      <c r="J22" s="48"/>
      <c r="K22" s="48"/>
      <c r="L22" s="48"/>
      <c r="M22" s="48"/>
      <c r="N22" s="48"/>
    </row>
    <row r="23" spans="1:14" x14ac:dyDescent="0.25">
      <c r="A23" s="48"/>
      <c r="B23" s="817" t="s">
        <v>1319</v>
      </c>
      <c r="C23" s="48"/>
      <c r="D23" s="48"/>
      <c r="E23" s="48"/>
      <c r="F23" s="48"/>
      <c r="G23" s="48"/>
      <c r="H23" s="48"/>
      <c r="I23" s="48"/>
      <c r="J23" s="48"/>
      <c r="K23" s="48"/>
      <c r="L23" s="48"/>
      <c r="M23" s="48"/>
      <c r="N23" s="48"/>
    </row>
    <row r="24" spans="1:14" ht="18" customHeight="1" x14ac:dyDescent="0.25">
      <c r="A24" s="48"/>
      <c r="B24" s="1716"/>
      <c r="C24" s="1716"/>
      <c r="D24" s="1716"/>
      <c r="E24" s="1716"/>
      <c r="F24" s="1716"/>
      <c r="G24" s="1716"/>
      <c r="H24" s="1716"/>
      <c r="I24" s="1716"/>
      <c r="J24" s="1716"/>
      <c r="K24" s="1716"/>
      <c r="L24" s="48"/>
      <c r="M24" s="48"/>
      <c r="N24" s="48"/>
    </row>
    <row r="25" spans="1:14" ht="18" customHeight="1" x14ac:dyDescent="0.25">
      <c r="A25" s="48"/>
      <c r="B25" s="954" t="s">
        <v>1641</v>
      </c>
      <c r="C25" s="511"/>
      <c r="D25" s="511"/>
      <c r="E25" s="511"/>
      <c r="F25" s="511"/>
      <c r="G25" s="511"/>
      <c r="H25" s="511"/>
      <c r="I25" s="511"/>
      <c r="J25" s="511"/>
      <c r="K25" s="512"/>
      <c r="L25" s="48"/>
      <c r="M25" s="48"/>
      <c r="N25" s="48"/>
    </row>
    <row r="26" spans="1:14" ht="44.25" customHeight="1" x14ac:dyDescent="0.25">
      <c r="A26" s="48"/>
      <c r="B26" s="1631" t="s">
        <v>1642</v>
      </c>
      <c r="C26" s="1632"/>
      <c r="D26" s="1632"/>
      <c r="E26" s="1632"/>
      <c r="F26" s="1632"/>
      <c r="G26" s="1632"/>
      <c r="H26" s="1632"/>
      <c r="I26" s="1632"/>
      <c r="J26" s="1632"/>
      <c r="K26" s="1633"/>
      <c r="L26" s="48"/>
      <c r="M26" s="48"/>
      <c r="N26" s="48"/>
    </row>
    <row r="27" spans="1:14" ht="27" customHeight="1" x14ac:dyDescent="0.25">
      <c r="A27" s="48"/>
      <c r="B27" s="1631" t="s">
        <v>1643</v>
      </c>
      <c r="C27" s="1632"/>
      <c r="D27" s="1632"/>
      <c r="E27" s="1632"/>
      <c r="F27" s="1632"/>
      <c r="G27" s="1632"/>
      <c r="H27" s="1632"/>
      <c r="I27" s="1632"/>
      <c r="J27" s="1632"/>
      <c r="K27" s="1633"/>
      <c r="L27" s="48"/>
      <c r="M27" s="48"/>
      <c r="N27" s="48"/>
    </row>
    <row r="28" spans="1:14" ht="18" customHeight="1" x14ac:dyDescent="0.25">
      <c r="A28" s="48"/>
      <c r="B28" s="1631" t="s">
        <v>1644</v>
      </c>
      <c r="C28" s="1632"/>
      <c r="D28" s="1632"/>
      <c r="E28" s="1632"/>
      <c r="F28" s="1632"/>
      <c r="G28" s="1632"/>
      <c r="H28" s="1632"/>
      <c r="I28" s="1632"/>
      <c r="J28" s="1632"/>
      <c r="K28" s="1633"/>
      <c r="L28" s="48"/>
      <c r="M28" s="48"/>
      <c r="N28" s="48"/>
    </row>
    <row r="29" spans="1:14" ht="18" customHeight="1" x14ac:dyDescent="0.25">
      <c r="A29" s="48"/>
      <c r="B29" s="1631" t="s">
        <v>1645</v>
      </c>
      <c r="C29" s="1632"/>
      <c r="D29" s="1632"/>
      <c r="E29" s="1632"/>
      <c r="F29" s="1632"/>
      <c r="G29" s="1632"/>
      <c r="H29" s="1632"/>
      <c r="I29" s="1632"/>
      <c r="J29" s="1632"/>
      <c r="K29" s="1633"/>
      <c r="L29" s="48"/>
      <c r="M29" s="48"/>
      <c r="N29" s="48"/>
    </row>
    <row r="30" spans="1:14" ht="18" customHeight="1" x14ac:dyDescent="0.25">
      <c r="A30" s="48"/>
      <c r="B30" s="1631" t="s">
        <v>1646</v>
      </c>
      <c r="C30" s="1632"/>
      <c r="D30" s="1632"/>
      <c r="E30" s="1632"/>
      <c r="F30" s="1632"/>
      <c r="G30" s="1632"/>
      <c r="H30" s="1632"/>
      <c r="I30" s="1632"/>
      <c r="J30" s="1632"/>
      <c r="K30" s="1633"/>
      <c r="L30" s="48"/>
      <c r="M30" s="48"/>
      <c r="N30" s="48"/>
    </row>
    <row r="31" spans="1:14" ht="18" customHeight="1" x14ac:dyDescent="0.25">
      <c r="A31" s="48"/>
      <c r="B31" s="1634" t="s">
        <v>1647</v>
      </c>
      <c r="C31" s="1635"/>
      <c r="D31" s="1635"/>
      <c r="E31" s="1635"/>
      <c r="F31" s="1635"/>
      <c r="G31" s="1635"/>
      <c r="H31" s="1635"/>
      <c r="I31" s="1635"/>
      <c r="J31" s="1635"/>
      <c r="K31" s="1636"/>
      <c r="L31" s="48"/>
      <c r="M31" s="48"/>
      <c r="N31" s="48"/>
    </row>
    <row r="32" spans="1:14" ht="12" customHeight="1" x14ac:dyDescent="0.25">
      <c r="A32" s="48"/>
      <c r="B32" s="48"/>
      <c r="C32" s="48"/>
      <c r="D32" s="48"/>
      <c r="E32" s="48"/>
      <c r="F32" s="48"/>
      <c r="G32" s="48"/>
      <c r="H32" s="48"/>
      <c r="I32" s="48"/>
      <c r="J32" s="48"/>
      <c r="K32" s="48"/>
      <c r="L32" s="48"/>
      <c r="M32" s="48"/>
      <c r="N32" s="48"/>
    </row>
    <row r="33" spans="1:18" ht="17.25" customHeight="1" x14ac:dyDescent="0.25">
      <c r="A33" s="48"/>
      <c r="B33" s="1663" t="s">
        <v>2098</v>
      </c>
      <c r="C33" s="1664"/>
      <c r="D33" s="1664"/>
      <c r="E33" s="1664"/>
      <c r="F33" s="1664"/>
      <c r="G33" s="1664"/>
      <c r="H33" s="1664"/>
      <c r="I33" s="1664"/>
      <c r="J33" s="1664"/>
      <c r="K33" s="1665"/>
      <c r="L33" s="48"/>
      <c r="M33" s="48"/>
      <c r="N33" s="48"/>
    </row>
    <row r="34" spans="1:18" ht="30" customHeight="1" x14ac:dyDescent="0.25">
      <c r="A34" s="48"/>
      <c r="B34" s="1637" t="s">
        <v>2099</v>
      </c>
      <c r="C34" s="1638"/>
      <c r="D34" s="1638"/>
      <c r="E34" s="1638"/>
      <c r="F34" s="1638"/>
      <c r="G34" s="1638"/>
      <c r="H34" s="1638"/>
      <c r="I34" s="1638"/>
      <c r="J34" s="1638"/>
      <c r="K34" s="1639"/>
      <c r="L34" s="48"/>
      <c r="M34" s="48"/>
      <c r="N34" s="48"/>
    </row>
    <row r="35" spans="1:18" ht="30" customHeight="1" x14ac:dyDescent="0.25">
      <c r="A35" s="48"/>
      <c r="B35" s="1640" t="s">
        <v>2100</v>
      </c>
      <c r="C35" s="1641"/>
      <c r="D35" s="1641"/>
      <c r="E35" s="1641"/>
      <c r="F35" s="1641"/>
      <c r="G35" s="1641"/>
      <c r="H35" s="1641"/>
      <c r="I35" s="1641"/>
      <c r="J35" s="1641"/>
      <c r="K35" s="1642"/>
      <c r="L35" s="48"/>
      <c r="M35" s="48"/>
      <c r="N35" s="48"/>
    </row>
    <row r="36" spans="1:18" ht="19.5" customHeight="1" x14ac:dyDescent="0.25">
      <c r="A36" s="48"/>
      <c r="B36" s="923"/>
      <c r="C36" s="923"/>
      <c r="D36" s="923"/>
      <c r="E36" s="923"/>
      <c r="F36" s="923"/>
      <c r="G36" s="923"/>
      <c r="H36" s="923"/>
      <c r="I36" s="923"/>
      <c r="J36" s="923"/>
      <c r="K36" s="923"/>
      <c r="L36" s="48"/>
      <c r="M36" s="48"/>
      <c r="N36" s="48"/>
    </row>
    <row r="37" spans="1:18" x14ac:dyDescent="0.25">
      <c r="A37" s="48"/>
      <c r="B37" s="671" t="s">
        <v>1599</v>
      </c>
      <c r="C37" s="902"/>
      <c r="D37" s="902"/>
      <c r="E37" s="902"/>
      <c r="F37" s="902"/>
      <c r="G37" s="902"/>
      <c r="H37" s="902"/>
      <c r="I37" s="902"/>
      <c r="J37" s="902"/>
      <c r="K37" s="902"/>
      <c r="L37" s="48"/>
      <c r="M37" s="48"/>
      <c r="N37" s="48"/>
    </row>
    <row r="38" spans="1:18" x14ac:dyDescent="0.25">
      <c r="A38" s="48"/>
      <c r="B38" s="726"/>
      <c r="C38" s="726"/>
      <c r="D38" s="726"/>
      <c r="E38" s="726"/>
      <c r="F38" s="726"/>
      <c r="G38" s="726"/>
      <c r="H38" s="726"/>
      <c r="I38" s="726"/>
      <c r="J38" s="726"/>
      <c r="K38" s="726"/>
      <c r="L38" s="48"/>
      <c r="M38" s="48"/>
      <c r="N38" s="48"/>
    </row>
    <row r="39" spans="1:18" ht="18" customHeight="1" x14ac:dyDescent="0.25">
      <c r="A39" s="48"/>
      <c r="B39" s="1644" t="s">
        <v>1598</v>
      </c>
      <c r="C39" s="1645"/>
      <c r="D39" s="1645"/>
      <c r="E39" s="903" t="s">
        <v>62</v>
      </c>
      <c r="F39" s="902"/>
      <c r="G39" s="923"/>
      <c r="H39" s="902"/>
      <c r="I39" s="902"/>
      <c r="J39" s="902"/>
      <c r="K39" s="902"/>
      <c r="L39" s="48"/>
      <c r="M39" s="48"/>
      <c r="N39" s="48"/>
    </row>
    <row r="40" spans="1:18" ht="14.25" customHeight="1" x14ac:dyDescent="0.25">
      <c r="A40" s="48"/>
      <c r="B40" s="902"/>
      <c r="C40" s="902"/>
      <c r="D40" s="902"/>
      <c r="E40" s="902"/>
      <c r="F40" s="902"/>
      <c r="G40" s="902"/>
      <c r="H40" s="902"/>
      <c r="I40" s="902"/>
      <c r="J40" s="902"/>
      <c r="K40" s="902"/>
      <c r="L40" s="48"/>
      <c r="M40" s="48"/>
      <c r="N40" s="48"/>
    </row>
    <row r="41" spans="1:18" ht="39.75" x14ac:dyDescent="0.25">
      <c r="A41" s="48"/>
      <c r="B41" s="754" t="s">
        <v>716</v>
      </c>
      <c r="C41" s="755" t="s">
        <v>652</v>
      </c>
      <c r="D41" s="755" t="s">
        <v>166</v>
      </c>
      <c r="E41" s="755" t="s">
        <v>1600</v>
      </c>
      <c r="F41" s="900" t="s">
        <v>1601</v>
      </c>
      <c r="G41" s="755" t="s">
        <v>1606</v>
      </c>
      <c r="H41" s="900" t="s">
        <v>1604</v>
      </c>
      <c r="I41" s="755" t="s">
        <v>1605</v>
      </c>
      <c r="J41" s="755" t="s">
        <v>1607</v>
      </c>
      <c r="K41" s="1666" t="s">
        <v>1235</v>
      </c>
      <c r="L41" s="1666"/>
      <c r="M41" s="667"/>
      <c r="N41" s="48"/>
      <c r="P41" s="900" t="s">
        <v>1602</v>
      </c>
      <c r="Q41" s="900" t="s">
        <v>1603</v>
      </c>
      <c r="R41" s="900" t="s">
        <v>1608</v>
      </c>
    </row>
    <row r="42" spans="1:18" x14ac:dyDescent="0.25">
      <c r="A42" s="48"/>
      <c r="B42" s="753"/>
      <c r="C42" s="757"/>
      <c r="D42" s="757"/>
      <c r="E42" s="905"/>
      <c r="F42" s="901"/>
      <c r="G42" s="756" t="s">
        <v>62</v>
      </c>
      <c r="H42" s="899" t="s">
        <v>62</v>
      </c>
      <c r="I42" s="757"/>
      <c r="J42" s="538" t="s">
        <v>62</v>
      </c>
      <c r="K42" s="1643" t="str">
        <f>IF(OR(C42&lt;&gt;"",B42&lt;&gt;""),R42,"")</f>
        <v/>
      </c>
      <c r="L42" s="1643"/>
      <c r="M42" s="48"/>
      <c r="N42" s="48"/>
      <c r="P42" t="str">
        <f>IF(C42="","No",IF(E42&gt;=0.05*C42,"Yes","No"))</f>
        <v>No</v>
      </c>
      <c r="Q42" t="str">
        <f>IF(F42&gt;=E42,"Yes","No")</f>
        <v>Yes</v>
      </c>
      <c r="R42" t="str">
        <f>IF($E$39="Yes",IF(AND(C42&lt;&gt;"",E42+F42&gt;=0.04*C42),"Yes","No"),IF(AND(P42="Yes",Q42="Yes",G42="Yes",H42="Yes",I42&lt;&gt;"",I42&lt;=15),"Yes",IF(J42="Yes","Yes","No")))</f>
        <v>No</v>
      </c>
    </row>
    <row r="43" spans="1:18" x14ac:dyDescent="0.25">
      <c r="A43" s="48"/>
      <c r="B43" s="903"/>
      <c r="C43" s="905"/>
      <c r="D43" s="905"/>
      <c r="E43" s="905"/>
      <c r="F43" s="901"/>
      <c r="G43" s="899" t="s">
        <v>62</v>
      </c>
      <c r="H43" s="899" t="s">
        <v>62</v>
      </c>
      <c r="I43" s="905"/>
      <c r="J43" s="538" t="s">
        <v>62</v>
      </c>
      <c r="K43" s="1643" t="str">
        <f t="shared" ref="K43:K61" si="1">IF(OR(C43&lt;&gt;"",B43&lt;&gt;""),R43,"")</f>
        <v/>
      </c>
      <c r="L43" s="1643"/>
      <c r="M43" s="48"/>
      <c r="N43" s="48"/>
      <c r="P43" t="str">
        <f t="shared" ref="P43:P61" si="2">IF(C43="","No",IF(E43&gt;=0.05*C43,"Yes","No"))</f>
        <v>No</v>
      </c>
      <c r="Q43" t="str">
        <f t="shared" ref="Q43:Q61" si="3">IF(F43&gt;=E43,"Yes","No")</f>
        <v>Yes</v>
      </c>
      <c r="R43" t="str">
        <f t="shared" ref="R43:R61" si="4">IF($E$39="Yes",IF(AND(C43&lt;&gt;"",E43+F43&gt;=0.04*C43),"Yes","No"),IF(AND(P43="Yes",Q43="Yes",G43="Yes",H43="Yes",I43&lt;&gt;"",I43&lt;=15),"Yes",IF(J43="Yes","Yes","No")))</f>
        <v>No</v>
      </c>
    </row>
    <row r="44" spans="1:18" x14ac:dyDescent="0.25">
      <c r="A44" s="48"/>
      <c r="B44" s="903"/>
      <c r="C44" s="905"/>
      <c r="D44" s="905"/>
      <c r="E44" s="905"/>
      <c r="F44" s="901"/>
      <c r="G44" s="899" t="s">
        <v>62</v>
      </c>
      <c r="H44" s="899" t="s">
        <v>62</v>
      </c>
      <c r="I44" s="905"/>
      <c r="J44" s="538" t="s">
        <v>62</v>
      </c>
      <c r="K44" s="1643" t="str">
        <f t="shared" si="1"/>
        <v/>
      </c>
      <c r="L44" s="1643"/>
      <c r="M44" s="48"/>
      <c r="N44" s="48"/>
      <c r="P44" t="str">
        <f t="shared" si="2"/>
        <v>No</v>
      </c>
      <c r="Q44" t="str">
        <f t="shared" si="3"/>
        <v>Yes</v>
      </c>
      <c r="R44" t="str">
        <f t="shared" si="4"/>
        <v>No</v>
      </c>
    </row>
    <row r="45" spans="1:18" x14ac:dyDescent="0.25">
      <c r="A45" s="48"/>
      <c r="B45" s="903"/>
      <c r="C45" s="905"/>
      <c r="D45" s="905"/>
      <c r="E45" s="905"/>
      <c r="F45" s="901"/>
      <c r="G45" s="899" t="s">
        <v>62</v>
      </c>
      <c r="H45" s="899" t="s">
        <v>62</v>
      </c>
      <c r="I45" s="905"/>
      <c r="J45" s="538" t="s">
        <v>62</v>
      </c>
      <c r="K45" s="1643" t="str">
        <f t="shared" si="1"/>
        <v/>
      </c>
      <c r="L45" s="1643"/>
      <c r="M45" s="48"/>
      <c r="N45" s="48"/>
      <c r="P45" t="str">
        <f t="shared" si="2"/>
        <v>No</v>
      </c>
      <c r="Q45" t="str">
        <f t="shared" si="3"/>
        <v>Yes</v>
      </c>
      <c r="R45" t="str">
        <f t="shared" si="4"/>
        <v>No</v>
      </c>
    </row>
    <row r="46" spans="1:18" x14ac:dyDescent="0.25">
      <c r="A46" s="48"/>
      <c r="B46" s="919"/>
      <c r="C46" s="928"/>
      <c r="D46" s="928"/>
      <c r="E46" s="928"/>
      <c r="F46" s="924"/>
      <c r="G46" s="917" t="s">
        <v>62</v>
      </c>
      <c r="H46" s="917" t="s">
        <v>62</v>
      </c>
      <c r="I46" s="928"/>
      <c r="J46" s="538" t="s">
        <v>62</v>
      </c>
      <c r="K46" s="1643" t="str">
        <f t="shared" si="1"/>
        <v/>
      </c>
      <c r="L46" s="1643"/>
      <c r="M46" s="48"/>
      <c r="N46" s="48"/>
      <c r="P46" t="str">
        <f t="shared" ref="P46:P55" si="5">IF(C46="","No",IF(E46&gt;=0.05*C46,"Yes","No"))</f>
        <v>No</v>
      </c>
      <c r="Q46" t="str">
        <f t="shared" ref="Q46:Q55" si="6">IF(F46&gt;=E46,"Yes","No")</f>
        <v>Yes</v>
      </c>
      <c r="R46" t="str">
        <f t="shared" si="4"/>
        <v>No</v>
      </c>
    </row>
    <row r="47" spans="1:18" x14ac:dyDescent="0.25">
      <c r="A47" s="48"/>
      <c r="B47" s="919"/>
      <c r="C47" s="928"/>
      <c r="D47" s="928"/>
      <c r="E47" s="928"/>
      <c r="F47" s="924"/>
      <c r="G47" s="917" t="s">
        <v>62</v>
      </c>
      <c r="H47" s="917" t="s">
        <v>62</v>
      </c>
      <c r="I47" s="928"/>
      <c r="J47" s="538" t="s">
        <v>62</v>
      </c>
      <c r="K47" s="1643" t="str">
        <f t="shared" si="1"/>
        <v/>
      </c>
      <c r="L47" s="1643"/>
      <c r="M47" s="48"/>
      <c r="N47" s="48"/>
      <c r="P47" t="str">
        <f t="shared" si="5"/>
        <v>No</v>
      </c>
      <c r="Q47" t="str">
        <f t="shared" si="6"/>
        <v>Yes</v>
      </c>
      <c r="R47" t="str">
        <f t="shared" si="4"/>
        <v>No</v>
      </c>
    </row>
    <row r="48" spans="1:18" x14ac:dyDescent="0.25">
      <c r="A48" s="48"/>
      <c r="B48" s="919"/>
      <c r="C48" s="928"/>
      <c r="D48" s="928"/>
      <c r="E48" s="928"/>
      <c r="F48" s="924"/>
      <c r="G48" s="917" t="s">
        <v>62</v>
      </c>
      <c r="H48" s="917" t="s">
        <v>62</v>
      </c>
      <c r="I48" s="928"/>
      <c r="J48" s="538" t="s">
        <v>62</v>
      </c>
      <c r="K48" s="1643" t="str">
        <f t="shared" si="1"/>
        <v/>
      </c>
      <c r="L48" s="1643"/>
      <c r="M48" s="48"/>
      <c r="N48" s="48"/>
      <c r="P48" t="str">
        <f t="shared" si="5"/>
        <v>No</v>
      </c>
      <c r="Q48" t="str">
        <f t="shared" si="6"/>
        <v>Yes</v>
      </c>
      <c r="R48" t="str">
        <f t="shared" si="4"/>
        <v>No</v>
      </c>
    </row>
    <row r="49" spans="1:18" x14ac:dyDescent="0.25">
      <c r="A49" s="48"/>
      <c r="B49" s="1238"/>
      <c r="C49" s="1241"/>
      <c r="D49" s="1241"/>
      <c r="E49" s="1241"/>
      <c r="F49" s="1239"/>
      <c r="G49" s="1236" t="s">
        <v>62</v>
      </c>
      <c r="H49" s="1236" t="s">
        <v>62</v>
      </c>
      <c r="I49" s="1241"/>
      <c r="J49" s="1244" t="s">
        <v>62</v>
      </c>
      <c r="K49" s="1643" t="str">
        <f t="shared" ref="K49:K53" si="7">IF(OR(C49&lt;&gt;"",B49&lt;&gt;""),R49,"")</f>
        <v/>
      </c>
      <c r="L49" s="1643"/>
      <c r="M49" s="48"/>
      <c r="N49" s="48"/>
      <c r="P49" t="str">
        <f t="shared" ref="P49:P53" si="8">IF(C49="","No",IF(E49&gt;=0.05*C49,"Yes","No"))</f>
        <v>No</v>
      </c>
      <c r="Q49" t="str">
        <f t="shared" ref="Q49:Q53" si="9">IF(F49&gt;=E49,"Yes","No")</f>
        <v>Yes</v>
      </c>
      <c r="R49" t="str">
        <f t="shared" ref="R49:R53" si="10">IF($E$39="Yes",IF(AND(C49&lt;&gt;"",E49+F49&gt;=0.04*C49),"Yes","No"),IF(AND(P49="Yes",Q49="Yes",G49="Yes",H49="Yes",I49&lt;&gt;"",I49&lt;=15),"Yes",IF(J49="Yes","Yes","No")))</f>
        <v>No</v>
      </c>
    </row>
    <row r="50" spans="1:18" x14ac:dyDescent="0.25">
      <c r="A50" s="48"/>
      <c r="B50" s="1238"/>
      <c r="C50" s="1241"/>
      <c r="D50" s="1241"/>
      <c r="E50" s="1241"/>
      <c r="F50" s="1239"/>
      <c r="G50" s="1236" t="s">
        <v>62</v>
      </c>
      <c r="H50" s="1236" t="s">
        <v>62</v>
      </c>
      <c r="I50" s="1241"/>
      <c r="J50" s="1244" t="s">
        <v>62</v>
      </c>
      <c r="K50" s="1643" t="str">
        <f t="shared" si="7"/>
        <v/>
      </c>
      <c r="L50" s="1643"/>
      <c r="M50" s="48"/>
      <c r="N50" s="48"/>
      <c r="P50" t="str">
        <f t="shared" si="8"/>
        <v>No</v>
      </c>
      <c r="Q50" t="str">
        <f t="shared" si="9"/>
        <v>Yes</v>
      </c>
      <c r="R50" t="str">
        <f t="shared" si="10"/>
        <v>No</v>
      </c>
    </row>
    <row r="51" spans="1:18" x14ac:dyDescent="0.25">
      <c r="A51" s="48"/>
      <c r="B51" s="1238"/>
      <c r="C51" s="1241"/>
      <c r="D51" s="1241"/>
      <c r="E51" s="1241"/>
      <c r="F51" s="1239"/>
      <c r="G51" s="1236" t="s">
        <v>62</v>
      </c>
      <c r="H51" s="1236" t="s">
        <v>62</v>
      </c>
      <c r="I51" s="1241"/>
      <c r="J51" s="1244" t="s">
        <v>62</v>
      </c>
      <c r="K51" s="1643" t="str">
        <f t="shared" si="7"/>
        <v/>
      </c>
      <c r="L51" s="1643"/>
      <c r="M51" s="48"/>
      <c r="N51" s="48"/>
      <c r="P51" t="str">
        <f t="shared" si="8"/>
        <v>No</v>
      </c>
      <c r="Q51" t="str">
        <f t="shared" si="9"/>
        <v>Yes</v>
      </c>
      <c r="R51" t="str">
        <f t="shared" si="10"/>
        <v>No</v>
      </c>
    </row>
    <row r="52" spans="1:18" x14ac:dyDescent="0.25">
      <c r="A52" s="48"/>
      <c r="B52" s="1238"/>
      <c r="C52" s="1241"/>
      <c r="D52" s="1241"/>
      <c r="E52" s="1241"/>
      <c r="F52" s="1239"/>
      <c r="G52" s="1236" t="s">
        <v>62</v>
      </c>
      <c r="H52" s="1236" t="s">
        <v>62</v>
      </c>
      <c r="I52" s="1241"/>
      <c r="J52" s="1244" t="s">
        <v>62</v>
      </c>
      <c r="K52" s="1643" t="str">
        <f t="shared" si="7"/>
        <v/>
      </c>
      <c r="L52" s="1643"/>
      <c r="M52" s="48"/>
      <c r="N52" s="48"/>
      <c r="P52" t="str">
        <f t="shared" si="8"/>
        <v>No</v>
      </c>
      <c r="Q52" t="str">
        <f t="shared" si="9"/>
        <v>Yes</v>
      </c>
      <c r="R52" t="str">
        <f t="shared" si="10"/>
        <v>No</v>
      </c>
    </row>
    <row r="53" spans="1:18" x14ac:dyDescent="0.25">
      <c r="A53" s="48"/>
      <c r="B53" s="1238"/>
      <c r="C53" s="1241"/>
      <c r="D53" s="1241"/>
      <c r="E53" s="1241"/>
      <c r="F53" s="1239"/>
      <c r="G53" s="1236" t="s">
        <v>62</v>
      </c>
      <c r="H53" s="1236" t="s">
        <v>62</v>
      </c>
      <c r="I53" s="1241"/>
      <c r="J53" s="1244" t="s">
        <v>62</v>
      </c>
      <c r="K53" s="1643" t="str">
        <f t="shared" si="7"/>
        <v/>
      </c>
      <c r="L53" s="1643"/>
      <c r="M53" s="48"/>
      <c r="N53" s="48"/>
      <c r="P53" t="str">
        <f t="shared" si="8"/>
        <v>No</v>
      </c>
      <c r="Q53" t="str">
        <f t="shared" si="9"/>
        <v>Yes</v>
      </c>
      <c r="R53" t="str">
        <f t="shared" si="10"/>
        <v>No</v>
      </c>
    </row>
    <row r="54" spans="1:18" x14ac:dyDescent="0.25">
      <c r="A54" s="48"/>
      <c r="B54" s="919"/>
      <c r="C54" s="928"/>
      <c r="D54" s="928"/>
      <c r="E54" s="928"/>
      <c r="F54" s="924"/>
      <c r="G54" s="917" t="s">
        <v>62</v>
      </c>
      <c r="H54" s="917" t="s">
        <v>62</v>
      </c>
      <c r="I54" s="928"/>
      <c r="J54" s="538" t="s">
        <v>62</v>
      </c>
      <c r="K54" s="1643" t="str">
        <f t="shared" si="1"/>
        <v/>
      </c>
      <c r="L54" s="1643"/>
      <c r="M54" s="48"/>
      <c r="N54" s="48"/>
      <c r="P54" t="str">
        <f t="shared" si="5"/>
        <v>No</v>
      </c>
      <c r="Q54" t="str">
        <f t="shared" si="6"/>
        <v>Yes</v>
      </c>
      <c r="R54" t="str">
        <f t="shared" si="4"/>
        <v>No</v>
      </c>
    </row>
    <row r="55" spans="1:18" x14ac:dyDescent="0.25">
      <c r="A55" s="48"/>
      <c r="B55" s="919"/>
      <c r="C55" s="928"/>
      <c r="D55" s="928"/>
      <c r="E55" s="928"/>
      <c r="F55" s="924"/>
      <c r="G55" s="917" t="s">
        <v>62</v>
      </c>
      <c r="H55" s="917" t="s">
        <v>62</v>
      </c>
      <c r="I55" s="928"/>
      <c r="J55" s="538" t="s">
        <v>62</v>
      </c>
      <c r="K55" s="1643" t="str">
        <f t="shared" si="1"/>
        <v/>
      </c>
      <c r="L55" s="1643"/>
      <c r="M55" s="48"/>
      <c r="N55" s="48"/>
      <c r="P55" t="str">
        <f t="shared" si="5"/>
        <v>No</v>
      </c>
      <c r="Q55" t="str">
        <f t="shared" si="6"/>
        <v>Yes</v>
      </c>
      <c r="R55" t="str">
        <f t="shared" si="4"/>
        <v>No</v>
      </c>
    </row>
    <row r="56" spans="1:18" x14ac:dyDescent="0.25">
      <c r="A56" s="48"/>
      <c r="B56" s="903"/>
      <c r="C56" s="905"/>
      <c r="D56" s="905"/>
      <c r="E56" s="905"/>
      <c r="F56" s="901"/>
      <c r="G56" s="899" t="s">
        <v>62</v>
      </c>
      <c r="H56" s="899" t="s">
        <v>62</v>
      </c>
      <c r="I56" s="905"/>
      <c r="J56" s="538" t="s">
        <v>62</v>
      </c>
      <c r="K56" s="1643" t="str">
        <f t="shared" si="1"/>
        <v/>
      </c>
      <c r="L56" s="1643"/>
      <c r="M56" s="48"/>
      <c r="N56" s="48"/>
      <c r="P56" t="str">
        <f t="shared" si="2"/>
        <v>No</v>
      </c>
      <c r="Q56" t="str">
        <f t="shared" si="3"/>
        <v>Yes</v>
      </c>
      <c r="R56" t="str">
        <f t="shared" si="4"/>
        <v>No</v>
      </c>
    </row>
    <row r="57" spans="1:18" x14ac:dyDescent="0.25">
      <c r="A57" s="48"/>
      <c r="B57" s="903"/>
      <c r="C57" s="905"/>
      <c r="D57" s="905"/>
      <c r="E57" s="905"/>
      <c r="F57" s="901"/>
      <c r="G57" s="899" t="s">
        <v>62</v>
      </c>
      <c r="H57" s="899" t="s">
        <v>62</v>
      </c>
      <c r="I57" s="905"/>
      <c r="J57" s="538" t="s">
        <v>62</v>
      </c>
      <c r="K57" s="1643" t="str">
        <f t="shared" si="1"/>
        <v/>
      </c>
      <c r="L57" s="1643"/>
      <c r="M57" s="48"/>
      <c r="N57" s="48"/>
      <c r="P57" t="str">
        <f t="shared" si="2"/>
        <v>No</v>
      </c>
      <c r="Q57" t="str">
        <f t="shared" si="3"/>
        <v>Yes</v>
      </c>
      <c r="R57" t="str">
        <f t="shared" si="4"/>
        <v>No</v>
      </c>
    </row>
    <row r="58" spans="1:18" x14ac:dyDescent="0.25">
      <c r="A58" s="48"/>
      <c r="B58" s="903"/>
      <c r="C58" s="757"/>
      <c r="D58" s="757"/>
      <c r="E58" s="905"/>
      <c r="F58" s="901"/>
      <c r="G58" s="756" t="s">
        <v>62</v>
      </c>
      <c r="H58" s="899" t="s">
        <v>62</v>
      </c>
      <c r="I58" s="757"/>
      <c r="J58" s="538" t="s">
        <v>62</v>
      </c>
      <c r="K58" s="1643" t="str">
        <f t="shared" si="1"/>
        <v/>
      </c>
      <c r="L58" s="1643"/>
      <c r="M58" s="48"/>
      <c r="N58" s="48"/>
      <c r="P58" t="str">
        <f t="shared" si="2"/>
        <v>No</v>
      </c>
      <c r="Q58" t="str">
        <f t="shared" si="3"/>
        <v>Yes</v>
      </c>
      <c r="R58" t="str">
        <f t="shared" si="4"/>
        <v>No</v>
      </c>
    </row>
    <row r="59" spans="1:18" x14ac:dyDescent="0.25">
      <c r="A59" s="48"/>
      <c r="B59" s="903"/>
      <c r="C59" s="757"/>
      <c r="D59" s="757"/>
      <c r="E59" s="905"/>
      <c r="F59" s="901"/>
      <c r="G59" s="756" t="s">
        <v>62</v>
      </c>
      <c r="H59" s="899" t="s">
        <v>62</v>
      </c>
      <c r="I59" s="757"/>
      <c r="J59" s="538" t="s">
        <v>62</v>
      </c>
      <c r="K59" s="1643" t="str">
        <f t="shared" si="1"/>
        <v/>
      </c>
      <c r="L59" s="1643"/>
      <c r="M59" s="48"/>
      <c r="N59" s="48"/>
      <c r="P59" t="str">
        <f t="shared" si="2"/>
        <v>No</v>
      </c>
      <c r="Q59" t="str">
        <f t="shared" si="3"/>
        <v>Yes</v>
      </c>
      <c r="R59" t="str">
        <f t="shared" si="4"/>
        <v>No</v>
      </c>
    </row>
    <row r="60" spans="1:18" x14ac:dyDescent="0.25">
      <c r="A60" s="48"/>
      <c r="B60" s="903"/>
      <c r="C60" s="757"/>
      <c r="D60" s="757"/>
      <c r="E60" s="905"/>
      <c r="F60" s="901"/>
      <c r="G60" s="756" t="s">
        <v>62</v>
      </c>
      <c r="H60" s="899" t="s">
        <v>62</v>
      </c>
      <c r="I60" s="757"/>
      <c r="J60" s="538" t="s">
        <v>62</v>
      </c>
      <c r="K60" s="1643" t="str">
        <f t="shared" si="1"/>
        <v/>
      </c>
      <c r="L60" s="1643"/>
      <c r="M60" s="48"/>
      <c r="N60" s="48"/>
      <c r="P60" t="str">
        <f t="shared" si="2"/>
        <v>No</v>
      </c>
      <c r="Q60" t="str">
        <f t="shared" si="3"/>
        <v>Yes</v>
      </c>
      <c r="R60" t="str">
        <f t="shared" si="4"/>
        <v>No</v>
      </c>
    </row>
    <row r="61" spans="1:18" x14ac:dyDescent="0.25">
      <c r="A61" s="48"/>
      <c r="B61" s="903"/>
      <c r="C61" s="757"/>
      <c r="D61" s="757"/>
      <c r="E61" s="905"/>
      <c r="F61" s="901"/>
      <c r="G61" s="756" t="s">
        <v>62</v>
      </c>
      <c r="H61" s="899" t="s">
        <v>62</v>
      </c>
      <c r="I61" s="757"/>
      <c r="J61" s="538" t="s">
        <v>62</v>
      </c>
      <c r="K61" s="1643" t="str">
        <f t="shared" si="1"/>
        <v/>
      </c>
      <c r="L61" s="1643"/>
      <c r="M61" s="48"/>
      <c r="N61" s="48"/>
      <c r="P61" t="str">
        <f t="shared" si="2"/>
        <v>No</v>
      </c>
      <c r="Q61" t="str">
        <f t="shared" si="3"/>
        <v>Yes</v>
      </c>
      <c r="R61" t="str">
        <f t="shared" si="4"/>
        <v>No</v>
      </c>
    </row>
    <row r="62" spans="1:18" ht="9.75" customHeight="1" x14ac:dyDescent="0.25">
      <c r="A62" s="48"/>
      <c r="B62" s="326"/>
      <c r="C62" s="326"/>
      <c r="D62" s="326"/>
      <c r="E62" s="326"/>
      <c r="F62" s="326"/>
      <c r="G62" s="326"/>
      <c r="H62" s="326"/>
      <c r="I62" s="326"/>
      <c r="J62" s="326"/>
      <c r="K62" s="326"/>
      <c r="L62" s="48"/>
      <c r="M62" s="48"/>
      <c r="N62" s="48"/>
    </row>
    <row r="63" spans="1:18" ht="9.75" customHeight="1" x14ac:dyDescent="0.25">
      <c r="A63" s="48"/>
      <c r="B63" s="48"/>
      <c r="C63" s="48"/>
      <c r="D63" s="48"/>
      <c r="E63" s="48"/>
      <c r="F63" s="48"/>
      <c r="G63" s="48"/>
      <c r="H63" s="48"/>
      <c r="I63" s="48"/>
      <c r="J63" s="48"/>
      <c r="K63" s="48"/>
      <c r="L63" s="48"/>
      <c r="M63" s="48"/>
      <c r="N63" s="48"/>
    </row>
    <row r="64" spans="1:18" ht="18" customHeight="1" x14ac:dyDescent="0.25">
      <c r="A64" s="48"/>
      <c r="B64" s="1621" t="s">
        <v>2111</v>
      </c>
      <c r="C64" s="1621"/>
      <c r="D64" s="1621"/>
      <c r="E64" s="137">
        <f>IFERROR(SUMIF(R42:R61,"Yes",C42:C61)/SUM(C42:C61),0)</f>
        <v>0</v>
      </c>
      <c r="F64" s="48"/>
      <c r="G64" s="48"/>
      <c r="H64" s="48"/>
      <c r="I64" s="48"/>
      <c r="J64" s="48"/>
      <c r="K64" s="48"/>
      <c r="L64" s="48"/>
      <c r="M64" s="48"/>
      <c r="N64" s="48"/>
    </row>
    <row r="65" spans="1:18" ht="19.5" customHeight="1" x14ac:dyDescent="0.25">
      <c r="A65" s="48"/>
      <c r="B65" s="48"/>
      <c r="C65" s="48"/>
      <c r="D65" s="48"/>
      <c r="E65" s="48"/>
      <c r="F65" s="48"/>
      <c r="G65" s="48"/>
      <c r="H65" s="48"/>
      <c r="I65" s="48"/>
      <c r="J65" s="48"/>
      <c r="K65" s="48"/>
      <c r="L65" s="48"/>
      <c r="M65" s="48"/>
      <c r="N65" s="48"/>
    </row>
    <row r="66" spans="1:18" s="37" customFormat="1" ht="16.5" customHeight="1" x14ac:dyDescent="0.25">
      <c r="A66" s="240" t="s">
        <v>97</v>
      </c>
      <c r="B66" s="52"/>
      <c r="C66" s="52"/>
      <c r="D66" s="48"/>
      <c r="E66" s="48"/>
      <c r="F66" s="48"/>
      <c r="G66" s="48"/>
      <c r="H66" s="48"/>
      <c r="I66" s="48"/>
      <c r="J66" s="48"/>
      <c r="K66" s="48"/>
      <c r="L66" s="48"/>
      <c r="M66" s="48"/>
      <c r="N66" s="48"/>
    </row>
    <row r="67" spans="1:18" s="37" customFormat="1" x14ac:dyDescent="0.25">
      <c r="A67" s="48"/>
      <c r="B67" s="48"/>
      <c r="C67" s="48"/>
      <c r="D67" s="48"/>
      <c r="E67" s="48"/>
      <c r="F67" s="48"/>
      <c r="G67" s="48"/>
      <c r="H67" s="48"/>
      <c r="I67" s="48"/>
      <c r="J67" s="48"/>
      <c r="K67" s="48"/>
      <c r="L67" s="48"/>
      <c r="M67" s="48"/>
      <c r="N67" s="48"/>
    </row>
    <row r="68" spans="1:18" s="37" customFormat="1" ht="21" customHeight="1" x14ac:dyDescent="0.25">
      <c r="A68" s="48"/>
      <c r="B68" s="1627" t="s">
        <v>98</v>
      </c>
      <c r="C68" s="1628"/>
      <c r="D68" s="1628"/>
      <c r="E68" s="1628"/>
      <c r="F68" s="1628"/>
      <c r="G68" s="793" t="s">
        <v>1297</v>
      </c>
      <c r="H68" s="1629" t="s">
        <v>1298</v>
      </c>
      <c r="I68" s="1630"/>
      <c r="J68" s="48"/>
      <c r="K68" s="48"/>
      <c r="L68" s="48"/>
      <c r="M68" s="48"/>
      <c r="N68" s="48"/>
    </row>
    <row r="69" spans="1:18" s="37" customFormat="1" ht="27" customHeight="1" x14ac:dyDescent="0.25">
      <c r="A69" s="48"/>
      <c r="B69" s="1644" t="str">
        <f>Submittals!H2</f>
        <v>Select the Submission Stage in Project Information</v>
      </c>
      <c r="C69" s="1645" t="s">
        <v>294</v>
      </c>
      <c r="D69" s="1645"/>
      <c r="E69" s="1645"/>
      <c r="F69" s="1646"/>
      <c r="G69" s="1075" t="s">
        <v>62</v>
      </c>
      <c r="H69" s="1625"/>
      <c r="I69" s="1662"/>
      <c r="J69" s="48"/>
      <c r="K69" s="48"/>
      <c r="L69" s="48"/>
      <c r="M69" s="48"/>
      <c r="N69" s="48"/>
      <c r="O69" s="37" t="str">
        <f>IF(OR(B69="/",B69="No evidence required at this submission stage"),"Yes",IF(G69="Submitted","Yes","No"))</f>
        <v>No</v>
      </c>
    </row>
    <row r="70" spans="1:18" s="37" customFormat="1" ht="27" customHeight="1" x14ac:dyDescent="0.25">
      <c r="A70" s="48"/>
      <c r="B70" s="1644" t="str">
        <f>Submittals!H3</f>
        <v>Select the Submission Stage in Project Information</v>
      </c>
      <c r="C70" s="1645" t="s">
        <v>294</v>
      </c>
      <c r="D70" s="1645"/>
      <c r="E70" s="1645"/>
      <c r="F70" s="1646"/>
      <c r="G70" s="1075" t="s">
        <v>62</v>
      </c>
      <c r="H70" s="1625"/>
      <c r="I70" s="1662"/>
      <c r="J70" s="48"/>
      <c r="K70" s="48"/>
      <c r="L70" s="48"/>
      <c r="M70" s="48"/>
      <c r="N70" s="48"/>
      <c r="O70" s="37" t="str">
        <f>IF(OR(B70="/",B70="No evidence required at this submission stage"),"Yes",IF(G70="Submitted","Yes","No"))</f>
        <v>No</v>
      </c>
    </row>
    <row r="71" spans="1:18" s="37" customFormat="1" ht="19.5" customHeight="1" x14ac:dyDescent="0.25">
      <c r="A71" s="48"/>
      <c r="B71" s="48"/>
      <c r="C71" s="48"/>
      <c r="D71" s="48"/>
      <c r="E71" s="48"/>
      <c r="F71" s="48"/>
      <c r="G71" s="48"/>
      <c r="H71" s="48"/>
      <c r="I71" s="48"/>
      <c r="J71" s="48"/>
      <c r="K71" s="48"/>
      <c r="L71" s="48"/>
      <c r="M71" s="48"/>
      <c r="N71" s="48"/>
    </row>
    <row r="72" spans="1:18" ht="16.5" customHeight="1" x14ac:dyDescent="0.25">
      <c r="A72" s="240" t="s">
        <v>8</v>
      </c>
      <c r="B72" s="52"/>
      <c r="C72" s="52"/>
      <c r="D72" s="48"/>
      <c r="E72" s="48"/>
      <c r="F72" s="48"/>
      <c r="G72" s="48"/>
      <c r="H72" s="48"/>
      <c r="I72" s="48"/>
      <c r="J72" s="48"/>
      <c r="K72" s="48"/>
      <c r="L72" s="48"/>
      <c r="M72" s="48"/>
      <c r="N72" s="48"/>
      <c r="O72" s="37"/>
      <c r="P72" s="37"/>
      <c r="Q72" s="37"/>
      <c r="R72" s="37"/>
    </row>
    <row r="73" spans="1:18" ht="15.75" customHeight="1" x14ac:dyDescent="0.25">
      <c r="A73" s="48"/>
      <c r="B73" s="48"/>
      <c r="C73" s="48"/>
      <c r="D73" s="48"/>
      <c r="E73" s="48"/>
      <c r="F73" s="48"/>
      <c r="G73" s="48"/>
      <c r="H73" s="48"/>
      <c r="I73" s="48"/>
      <c r="J73" s="48"/>
      <c r="K73" s="48"/>
      <c r="L73" s="48"/>
      <c r="M73" s="48"/>
      <c r="N73" s="48"/>
      <c r="O73" s="37"/>
      <c r="P73" s="37"/>
      <c r="Q73" s="37"/>
      <c r="R73" s="37"/>
    </row>
    <row r="74" spans="1:18" ht="18" customHeight="1" x14ac:dyDescent="0.25">
      <c r="A74" s="48"/>
      <c r="B74" s="110" t="s">
        <v>19</v>
      </c>
      <c r="C74" s="7">
        <f>IF(E64&gt;=1,4,IF(E64&gt;=0.75,3,IF(E64&gt;=0.5,2,IF(E64&gt;=0.25,1,0))))</f>
        <v>0</v>
      </c>
      <c r="D74" s="48"/>
      <c r="E74" s="48"/>
      <c r="F74" s="48"/>
      <c r="G74" s="48"/>
      <c r="H74" s="48"/>
      <c r="I74" s="48"/>
      <c r="J74" s="48"/>
      <c r="K74" s="48"/>
      <c r="L74" s="48"/>
      <c r="M74" s="48"/>
      <c r="N74" s="48"/>
      <c r="O74" s="37"/>
      <c r="P74" s="37"/>
      <c r="Q74" s="37"/>
      <c r="R74" s="37"/>
    </row>
    <row r="75" spans="1:18" ht="18" customHeight="1" x14ac:dyDescent="0.25">
      <c r="A75" s="48"/>
      <c r="B75" s="110" t="s">
        <v>151</v>
      </c>
      <c r="C75" s="7" t="str">
        <f>IF(AND(COUNTIF(O69:O70,"Yes")=2,C74&gt;0),"Yes","No")</f>
        <v>No</v>
      </c>
      <c r="D75" s="48"/>
      <c r="E75" s="48"/>
      <c r="F75" s="48"/>
      <c r="G75" s="48"/>
      <c r="H75" s="48"/>
      <c r="I75" s="48"/>
      <c r="J75" s="48"/>
      <c r="K75" s="48"/>
      <c r="L75" s="48"/>
      <c r="M75" s="48"/>
      <c r="N75" s="48"/>
      <c r="O75" s="37"/>
      <c r="P75" s="37"/>
      <c r="Q75" s="37"/>
      <c r="R75" s="37"/>
    </row>
    <row r="76" spans="1:18" ht="19.5" customHeight="1" x14ac:dyDescent="0.25">
      <c r="A76" s="48"/>
      <c r="B76" s="48"/>
      <c r="C76" s="48"/>
      <c r="D76" s="48"/>
      <c r="E76" s="48"/>
      <c r="F76" s="48"/>
      <c r="G76" s="48"/>
      <c r="H76" s="48"/>
      <c r="I76" s="48"/>
      <c r="J76" s="48"/>
      <c r="K76" s="48"/>
      <c r="L76" s="48"/>
      <c r="M76" s="48"/>
      <c r="N76" s="48"/>
    </row>
    <row r="77" spans="1:18" ht="18" customHeight="1" x14ac:dyDescent="0.25">
      <c r="A77" s="1676" t="s">
        <v>1322</v>
      </c>
      <c r="B77" s="1676"/>
      <c r="C77" s="1676"/>
      <c r="D77" s="1676"/>
      <c r="E77" s="1676"/>
      <c r="F77" s="1676"/>
      <c r="G77" s="1676"/>
      <c r="H77" s="1676"/>
      <c r="I77" s="1676"/>
      <c r="J77" s="1676"/>
      <c r="K77" s="1676"/>
      <c r="L77" s="1676"/>
      <c r="M77" s="1676"/>
      <c r="N77" s="1676"/>
    </row>
    <row r="78" spans="1:18" ht="13.5" customHeight="1" x14ac:dyDescent="0.25">
      <c r="A78" s="48"/>
      <c r="B78" s="48"/>
      <c r="C78" s="48"/>
      <c r="D78" s="48"/>
      <c r="E78" s="48"/>
      <c r="F78" s="48"/>
      <c r="G78" s="48"/>
      <c r="H78" s="48"/>
      <c r="I78" s="48"/>
      <c r="J78" s="48"/>
      <c r="K78" s="48"/>
      <c r="L78" s="48"/>
      <c r="M78" s="48"/>
      <c r="N78" s="48"/>
    </row>
    <row r="79" spans="1:18" ht="16.5" customHeight="1" x14ac:dyDescent="0.25">
      <c r="A79" s="173" t="s">
        <v>117</v>
      </c>
      <c r="B79" s="75"/>
      <c r="C79" s="75"/>
      <c r="D79" s="49"/>
      <c r="E79" s="49"/>
      <c r="F79" s="49"/>
      <c r="G79" s="49"/>
      <c r="H79" s="49"/>
      <c r="I79" s="49"/>
      <c r="J79" s="49"/>
      <c r="K79" s="49"/>
      <c r="L79" s="49"/>
      <c r="M79" s="49"/>
      <c r="N79" s="49"/>
    </row>
    <row r="80" spans="1:18" ht="11.25" customHeight="1" x14ac:dyDescent="0.25">
      <c r="A80" s="49"/>
      <c r="B80" s="49"/>
      <c r="C80" s="49"/>
      <c r="D80" s="49"/>
      <c r="E80" s="49"/>
      <c r="F80" s="49"/>
      <c r="G80" s="49"/>
      <c r="H80" s="49"/>
      <c r="I80" s="49"/>
      <c r="J80" s="49"/>
      <c r="K80" s="49"/>
      <c r="L80" s="49"/>
      <c r="M80" s="49"/>
      <c r="N80" s="49"/>
    </row>
    <row r="81" spans="1:19" ht="18" customHeight="1" x14ac:dyDescent="0.25">
      <c r="A81" s="49"/>
      <c r="B81" s="663" t="s">
        <v>1035</v>
      </c>
      <c r="C81" s="48"/>
      <c r="D81" s="49"/>
      <c r="E81" s="49"/>
      <c r="F81" s="49"/>
      <c r="G81" s="49"/>
      <c r="H81" s="49"/>
      <c r="I81" s="49"/>
      <c r="J81" s="49"/>
      <c r="K81" s="49"/>
      <c r="L81" s="49"/>
      <c r="M81" s="49"/>
      <c r="N81" s="49"/>
    </row>
    <row r="82" spans="1:19" ht="18" customHeight="1" x14ac:dyDescent="0.25">
      <c r="A82" s="49"/>
      <c r="B82" s="324"/>
      <c r="C82" s="48"/>
      <c r="D82" s="49"/>
      <c r="E82" s="49"/>
      <c r="F82" s="49"/>
      <c r="G82" s="49"/>
      <c r="H82" s="49"/>
      <c r="I82" s="49"/>
      <c r="J82" s="49"/>
      <c r="K82" s="49"/>
      <c r="L82" s="49"/>
      <c r="M82" s="49"/>
      <c r="N82" s="49"/>
    </row>
    <row r="83" spans="1:19" ht="18" customHeight="1" x14ac:dyDescent="0.25">
      <c r="A83" s="49"/>
      <c r="B83" s="664" t="s">
        <v>1817</v>
      </c>
      <c r="C83" s="48"/>
      <c r="D83" s="49"/>
      <c r="E83" s="49"/>
      <c r="F83" s="49"/>
      <c r="G83" s="49"/>
      <c r="H83" s="49"/>
      <c r="I83" s="49"/>
      <c r="J83" s="49"/>
      <c r="K83" s="49"/>
      <c r="L83" s="49"/>
      <c r="M83" s="49"/>
      <c r="N83" s="49"/>
    </row>
    <row r="84" spans="1:19" ht="20.25" customHeight="1" x14ac:dyDescent="0.25">
      <c r="A84" s="49"/>
      <c r="B84" s="48"/>
      <c r="C84" s="48"/>
      <c r="D84" s="49"/>
      <c r="E84" s="49"/>
      <c r="F84" s="49"/>
      <c r="G84" s="49"/>
      <c r="H84" s="49"/>
      <c r="I84" s="49"/>
      <c r="J84" s="49"/>
      <c r="K84" s="49"/>
      <c r="L84" s="49"/>
      <c r="M84" s="49"/>
      <c r="N84" s="49"/>
      <c r="O84" s="138" t="s">
        <v>48</v>
      </c>
      <c r="P84" s="37"/>
      <c r="Q84" s="37"/>
      <c r="R84" s="37"/>
      <c r="S84" s="37"/>
    </row>
    <row r="85" spans="1:19" ht="18" customHeight="1" x14ac:dyDescent="0.25">
      <c r="A85" s="1691" t="s">
        <v>933</v>
      </c>
      <c r="B85" s="1691"/>
      <c r="C85" s="1691"/>
      <c r="D85" s="1691"/>
      <c r="E85" s="1691"/>
      <c r="F85" s="1691"/>
      <c r="G85" s="1691" t="s">
        <v>934</v>
      </c>
      <c r="H85" s="1691"/>
      <c r="I85" s="1691"/>
      <c r="J85" s="1691"/>
      <c r="K85" s="1691"/>
      <c r="L85" s="1691"/>
      <c r="M85" s="1691"/>
      <c r="N85" s="49"/>
      <c r="O85" s="37" t="s">
        <v>62</v>
      </c>
      <c r="P85" t="s">
        <v>48</v>
      </c>
      <c r="Q85" t="s">
        <v>52</v>
      </c>
      <c r="R85" s="6" t="s">
        <v>47</v>
      </c>
      <c r="S85" s="37"/>
    </row>
    <row r="86" spans="1:19" ht="16.5" customHeight="1" thickBot="1" x14ac:dyDescent="0.3">
      <c r="A86" s="48"/>
      <c r="B86" s="49"/>
      <c r="C86" s="49"/>
      <c r="D86" s="49"/>
      <c r="E86" s="49"/>
      <c r="F86" s="49"/>
      <c r="G86" s="49"/>
      <c r="H86" s="49"/>
      <c r="I86" s="49"/>
      <c r="J86" s="49"/>
      <c r="K86" s="49"/>
      <c r="L86" s="49"/>
      <c r="M86" s="49"/>
      <c r="N86" s="49"/>
      <c r="O86" s="138" t="s">
        <v>50</v>
      </c>
      <c r="P86" t="s">
        <v>50</v>
      </c>
      <c r="Q86" t="s">
        <v>59</v>
      </c>
      <c r="R86" s="29">
        <v>2.2999999999999998</v>
      </c>
      <c r="S86" s="37"/>
    </row>
    <row r="87" spans="1:19" ht="15.75" customHeight="1" thickBot="1" x14ac:dyDescent="0.3">
      <c r="A87" s="49"/>
      <c r="B87" s="49"/>
      <c r="C87" s="49"/>
      <c r="D87" s="49"/>
      <c r="E87" s="49"/>
      <c r="F87" s="49"/>
      <c r="G87" s="49"/>
      <c r="H87" s="49"/>
      <c r="I87" s="49"/>
      <c r="J87" s="49"/>
      <c r="K87" s="49"/>
      <c r="L87" s="49"/>
      <c r="M87" s="49"/>
      <c r="N87" s="49"/>
      <c r="O87" s="139" t="s">
        <v>51</v>
      </c>
      <c r="P87" s="25" t="s">
        <v>51</v>
      </c>
      <c r="Q87" t="s">
        <v>156</v>
      </c>
      <c r="R87" s="29">
        <v>2.6</v>
      </c>
      <c r="S87" s="37"/>
    </row>
    <row r="88" spans="1:19" ht="23.25" customHeight="1" thickBot="1" x14ac:dyDescent="0.3">
      <c r="A88" s="49"/>
      <c r="B88" s="49"/>
      <c r="C88" s="49"/>
      <c r="D88" s="49"/>
      <c r="E88" s="49"/>
      <c r="F88" s="49"/>
      <c r="G88" s="49"/>
      <c r="H88" s="49"/>
      <c r="I88" s="49"/>
      <c r="J88" s="49"/>
      <c r="K88" s="49"/>
      <c r="L88" s="49"/>
      <c r="M88" s="49"/>
      <c r="N88" s="49"/>
      <c r="O88" s="139" t="s">
        <v>1243</v>
      </c>
      <c r="P88" s="25"/>
      <c r="Q88" s="26" t="s">
        <v>295</v>
      </c>
      <c r="R88" s="29">
        <v>2.5</v>
      </c>
      <c r="S88" s="37"/>
    </row>
    <row r="89" spans="1:19" ht="27" customHeight="1" thickBot="1" x14ac:dyDescent="0.3">
      <c r="A89" s="49"/>
      <c r="B89" s="49"/>
      <c r="C89" s="49"/>
      <c r="D89" s="49"/>
      <c r="E89" s="49"/>
      <c r="F89" s="49"/>
      <c r="G89" s="49"/>
      <c r="H89" s="49"/>
      <c r="I89" s="49"/>
      <c r="J89" s="49"/>
      <c r="K89" s="49"/>
      <c r="L89" s="49"/>
      <c r="M89" s="49"/>
      <c r="N89" s="49"/>
      <c r="O89" s="139" t="s">
        <v>159</v>
      </c>
      <c r="P89" s="37"/>
      <c r="Q89" s="26" t="s">
        <v>154</v>
      </c>
      <c r="R89" s="29">
        <v>2.4</v>
      </c>
      <c r="S89" s="37"/>
    </row>
    <row r="90" spans="1:19" ht="15" customHeight="1" thickBot="1" x14ac:dyDescent="0.3">
      <c r="A90" s="49"/>
      <c r="B90" s="49"/>
      <c r="C90" s="49"/>
      <c r="D90" s="49"/>
      <c r="E90" s="49"/>
      <c r="F90" s="49"/>
      <c r="G90" s="49"/>
      <c r="H90" s="49"/>
      <c r="I90" s="49"/>
      <c r="J90" s="49"/>
      <c r="K90" s="49"/>
      <c r="L90" s="49"/>
      <c r="M90" s="49"/>
      <c r="N90" s="49"/>
      <c r="O90" s="139" t="s">
        <v>887</v>
      </c>
      <c r="P90" s="25" t="s">
        <v>56</v>
      </c>
      <c r="Q90" s="26" t="s">
        <v>155</v>
      </c>
      <c r="R90" s="28">
        <v>2.93</v>
      </c>
    </row>
    <row r="91" spans="1:19" ht="15" customHeight="1" thickBot="1" x14ac:dyDescent="0.3">
      <c r="A91" s="49"/>
      <c r="B91" s="49"/>
      <c r="C91" s="49"/>
      <c r="D91" s="49"/>
      <c r="E91" s="49"/>
      <c r="F91" s="49"/>
      <c r="G91" s="49"/>
      <c r="H91" s="49"/>
      <c r="I91" s="49"/>
      <c r="J91" s="49"/>
      <c r="K91" s="49"/>
      <c r="L91" s="49"/>
      <c r="M91" s="49"/>
      <c r="N91" s="49"/>
      <c r="O91" s="139" t="s">
        <v>888</v>
      </c>
      <c r="P91" s="25"/>
      <c r="Q91" s="27" t="s">
        <v>57</v>
      </c>
      <c r="R91" s="29">
        <v>3.02</v>
      </c>
    </row>
    <row r="92" spans="1:19" ht="15" customHeight="1" thickBot="1" x14ac:dyDescent="0.3">
      <c r="A92" s="49"/>
      <c r="B92" s="49"/>
      <c r="C92" s="49"/>
      <c r="D92" s="49"/>
      <c r="E92" s="49"/>
      <c r="F92" s="49"/>
      <c r="G92" s="49"/>
      <c r="H92" s="49"/>
      <c r="I92" s="49"/>
      <c r="J92" s="49"/>
      <c r="K92" s="49"/>
      <c r="L92" s="49"/>
      <c r="M92" s="49"/>
      <c r="N92" s="49"/>
      <c r="O92" s="139" t="s">
        <v>889</v>
      </c>
      <c r="P92" s="25"/>
      <c r="Q92" s="27" t="s">
        <v>58</v>
      </c>
      <c r="R92" s="29">
        <v>2.84</v>
      </c>
    </row>
    <row r="93" spans="1:19" ht="15" customHeight="1" thickBot="1" x14ac:dyDescent="0.3">
      <c r="A93" s="49"/>
      <c r="B93" s="49"/>
      <c r="C93" s="49"/>
      <c r="D93" s="49"/>
      <c r="E93" s="49"/>
      <c r="F93" s="49"/>
      <c r="G93" s="49"/>
      <c r="H93" s="49"/>
      <c r="I93" s="49"/>
      <c r="J93" s="49"/>
      <c r="K93" s="49"/>
      <c r="L93" s="49"/>
      <c r="M93" s="49"/>
      <c r="N93" s="49"/>
      <c r="O93" s="139" t="s">
        <v>890</v>
      </c>
      <c r="Q93" s="27" t="s">
        <v>2105</v>
      </c>
      <c r="R93" s="29">
        <v>2.78</v>
      </c>
    </row>
    <row r="94" spans="1:19" ht="21" customHeight="1" thickBot="1" x14ac:dyDescent="0.3">
      <c r="A94" s="49"/>
      <c r="B94" s="49"/>
      <c r="C94" s="49"/>
      <c r="D94" s="49"/>
      <c r="E94" s="49"/>
      <c r="F94" s="49"/>
      <c r="G94" s="49"/>
      <c r="H94" s="49"/>
      <c r="I94" s="49"/>
      <c r="J94" s="49"/>
      <c r="K94" s="49"/>
      <c r="L94" s="49"/>
      <c r="M94" s="49"/>
      <c r="N94" s="49"/>
      <c r="O94" s="25"/>
      <c r="P94" s="25"/>
      <c r="Q94" s="27" t="s">
        <v>2104</v>
      </c>
      <c r="R94" s="29">
        <v>2.7</v>
      </c>
    </row>
    <row r="95" spans="1:19" ht="15" customHeight="1" thickBot="1" x14ac:dyDescent="0.3">
      <c r="A95" s="49"/>
      <c r="B95" s="49"/>
      <c r="C95" s="49"/>
      <c r="D95" s="49"/>
      <c r="E95" s="49"/>
      <c r="F95" s="49"/>
      <c r="G95" s="49"/>
      <c r="H95" s="49"/>
      <c r="I95" s="49"/>
      <c r="J95" s="49"/>
      <c r="K95" s="49"/>
      <c r="L95" s="49"/>
      <c r="M95" s="49"/>
      <c r="N95" s="49"/>
      <c r="O95" s="25"/>
      <c r="P95" s="25" t="s">
        <v>159</v>
      </c>
      <c r="Q95" s="30" t="s">
        <v>60</v>
      </c>
      <c r="R95" s="29">
        <v>3.35</v>
      </c>
    </row>
    <row r="96" spans="1:19" ht="15" customHeight="1" thickBot="1" x14ac:dyDescent="0.3">
      <c r="A96" s="49"/>
      <c r="B96" s="49"/>
      <c r="C96" s="49"/>
      <c r="D96" s="49"/>
      <c r="E96" s="49"/>
      <c r="F96" s="49"/>
      <c r="G96" s="49"/>
      <c r="H96" s="49"/>
      <c r="I96" s="49"/>
      <c r="J96" s="49"/>
      <c r="K96" s="49"/>
      <c r="L96" s="49"/>
      <c r="M96" s="49"/>
      <c r="N96" s="49"/>
      <c r="Q96" s="32" t="s">
        <v>157</v>
      </c>
      <c r="R96" s="29">
        <v>3.37</v>
      </c>
    </row>
    <row r="97" spans="1:25" ht="15" customHeight="1" thickBot="1" x14ac:dyDescent="0.3">
      <c r="A97" s="49"/>
      <c r="B97" s="49"/>
      <c r="C97" s="49"/>
      <c r="D97" s="49"/>
      <c r="E97" s="49"/>
      <c r="F97" s="49"/>
      <c r="G97" s="49"/>
      <c r="H97" s="49"/>
      <c r="I97" s="49"/>
      <c r="J97" s="49"/>
      <c r="K97" s="49"/>
      <c r="L97" s="49"/>
      <c r="M97" s="49"/>
      <c r="N97" s="49"/>
      <c r="Q97" s="27" t="s">
        <v>158</v>
      </c>
      <c r="R97" s="29">
        <v>3.32</v>
      </c>
    </row>
    <row r="98" spans="1:25" s="37" customFormat="1" ht="15" customHeight="1" thickBot="1" x14ac:dyDescent="0.3">
      <c r="A98" s="49"/>
      <c r="B98" s="49"/>
      <c r="C98" s="49"/>
      <c r="D98" s="49"/>
      <c r="E98" s="49"/>
      <c r="F98" s="49"/>
      <c r="G98" s="49"/>
      <c r="H98" s="49"/>
      <c r="I98" s="49"/>
      <c r="J98" s="49"/>
      <c r="K98" s="49"/>
      <c r="L98" s="49"/>
      <c r="M98" s="49"/>
      <c r="N98" s="49"/>
      <c r="O98"/>
      <c r="P98"/>
      <c r="Q98" s="27" t="s">
        <v>61</v>
      </c>
      <c r="R98" s="31">
        <v>2.7</v>
      </c>
      <c r="S98"/>
      <c r="T98"/>
      <c r="U98"/>
    </row>
    <row r="99" spans="1:25" s="37" customFormat="1" ht="12.75" customHeight="1" x14ac:dyDescent="0.25">
      <c r="A99" s="49"/>
      <c r="B99" s="49"/>
      <c r="C99" s="49"/>
      <c r="D99" s="49"/>
      <c r="E99" s="49"/>
      <c r="F99" s="49"/>
      <c r="G99" s="49"/>
      <c r="H99" s="49"/>
      <c r="I99" s="49"/>
      <c r="J99" s="49"/>
      <c r="K99" s="49"/>
      <c r="L99" s="49"/>
      <c r="M99" s="49"/>
      <c r="N99" s="49"/>
      <c r="O99"/>
      <c r="P99" s="139" t="s">
        <v>887</v>
      </c>
      <c r="Q99" t="s">
        <v>896</v>
      </c>
      <c r="R99" s="537">
        <v>3.1</v>
      </c>
      <c r="S99"/>
      <c r="T99"/>
      <c r="U99"/>
    </row>
    <row r="100" spans="1:25" s="37" customFormat="1" ht="15" customHeight="1" thickBot="1" x14ac:dyDescent="0.3">
      <c r="A100" s="49"/>
      <c r="B100" s="49"/>
      <c r="C100" s="49"/>
      <c r="D100" s="49"/>
      <c r="E100" s="49"/>
      <c r="F100" s="49"/>
      <c r="G100" s="49"/>
      <c r="H100" s="49"/>
      <c r="I100" s="49"/>
      <c r="J100" s="49"/>
      <c r="K100" s="49"/>
      <c r="L100" s="49"/>
      <c r="M100" s="49"/>
      <c r="N100" s="49"/>
      <c r="O100"/>
      <c r="P100" s="139" t="s">
        <v>888</v>
      </c>
      <c r="Q100" t="s">
        <v>897</v>
      </c>
      <c r="R100" s="537">
        <v>4.2</v>
      </c>
      <c r="S100"/>
      <c r="T100"/>
      <c r="U100"/>
    </row>
    <row r="101" spans="1:25" s="37" customFormat="1" ht="15" customHeight="1" thickBot="1" x14ac:dyDescent="0.3">
      <c r="A101" s="49"/>
      <c r="B101" s="49"/>
      <c r="C101" s="49"/>
      <c r="D101" s="49"/>
      <c r="E101" s="49"/>
      <c r="F101" s="49"/>
      <c r="G101" s="49"/>
      <c r="H101" s="49"/>
      <c r="I101" s="49"/>
      <c r="J101" s="49"/>
      <c r="K101" s="49"/>
      <c r="L101" s="49"/>
      <c r="M101" s="49"/>
      <c r="N101" s="49"/>
      <c r="O101"/>
      <c r="P101" s="139" t="s">
        <v>889</v>
      </c>
      <c r="Q101" s="30" t="s">
        <v>891</v>
      </c>
      <c r="R101" s="537">
        <v>4.45</v>
      </c>
      <c r="S101"/>
      <c r="T101"/>
      <c r="U101"/>
    </row>
    <row r="102" spans="1:25" s="37" customFormat="1" ht="15" customHeight="1" thickBot="1" x14ac:dyDescent="0.3">
      <c r="A102" s="49"/>
      <c r="B102" s="49"/>
      <c r="C102" s="49"/>
      <c r="D102" s="49"/>
      <c r="E102" s="49"/>
      <c r="F102" s="49"/>
      <c r="G102" s="49"/>
      <c r="H102" s="49"/>
      <c r="I102" s="49"/>
      <c r="J102" s="49"/>
      <c r="K102" s="49"/>
      <c r="L102" s="49"/>
      <c r="M102" s="49"/>
      <c r="N102" s="49"/>
      <c r="O102"/>
      <c r="P102" s="139"/>
      <c r="Q102" s="32" t="s">
        <v>892</v>
      </c>
      <c r="R102" s="537">
        <v>4.9000000000000004</v>
      </c>
      <c r="S102"/>
      <c r="T102"/>
      <c r="U102"/>
    </row>
    <row r="103" spans="1:25" s="37" customFormat="1" ht="15" customHeight="1" thickBot="1" x14ac:dyDescent="0.3">
      <c r="A103" s="49"/>
      <c r="B103" s="49"/>
      <c r="C103" s="49"/>
      <c r="D103" s="49"/>
      <c r="E103" s="49"/>
      <c r="F103" s="49"/>
      <c r="G103" s="49"/>
      <c r="H103" s="49"/>
      <c r="I103" s="49"/>
      <c r="J103" s="49"/>
      <c r="K103" s="49"/>
      <c r="L103" s="49"/>
      <c r="M103" s="49"/>
      <c r="N103" s="49"/>
      <c r="O103"/>
      <c r="Q103" s="27" t="s">
        <v>893</v>
      </c>
      <c r="R103" s="537">
        <v>5.5</v>
      </c>
      <c r="S103"/>
      <c r="T103"/>
      <c r="U103"/>
    </row>
    <row r="104" spans="1:25" s="37" customFormat="1" ht="15" customHeight="1" thickBot="1" x14ac:dyDescent="0.3">
      <c r="A104" s="49"/>
      <c r="B104" s="49"/>
      <c r="C104" s="49"/>
      <c r="D104" s="49"/>
      <c r="E104" s="49"/>
      <c r="F104" s="49"/>
      <c r="G104" s="49"/>
      <c r="H104" s="49"/>
      <c r="I104" s="49"/>
      <c r="J104" s="49"/>
      <c r="K104" s="49"/>
      <c r="L104" s="49"/>
      <c r="M104" s="49"/>
      <c r="N104" s="49"/>
      <c r="O104"/>
      <c r="P104" s="139" t="s">
        <v>890</v>
      </c>
      <c r="Q104" s="30" t="s">
        <v>898</v>
      </c>
      <c r="R104" s="537">
        <v>5</v>
      </c>
      <c r="S104"/>
      <c r="T104"/>
      <c r="U104"/>
    </row>
    <row r="105" spans="1:25" s="37" customFormat="1" ht="15" customHeight="1" thickBot="1" x14ac:dyDescent="0.3">
      <c r="A105" s="49"/>
      <c r="B105" s="49"/>
      <c r="C105" s="49"/>
      <c r="D105" s="49"/>
      <c r="E105" s="49"/>
      <c r="F105" s="49"/>
      <c r="G105" s="49"/>
      <c r="H105" s="49"/>
      <c r="I105" s="49"/>
      <c r="J105" s="49"/>
      <c r="K105" s="49"/>
      <c r="L105" s="49"/>
      <c r="M105" s="49"/>
      <c r="N105" s="49"/>
      <c r="O105"/>
      <c r="P105"/>
      <c r="Q105" s="32" t="s">
        <v>894</v>
      </c>
      <c r="R105" s="537">
        <v>5.55</v>
      </c>
      <c r="S105"/>
      <c r="T105"/>
      <c r="U105"/>
    </row>
    <row r="106" spans="1:25" s="37" customFormat="1" ht="18" customHeight="1" thickBot="1" x14ac:dyDescent="0.3">
      <c r="A106" s="49"/>
      <c r="B106" s="49"/>
      <c r="C106" s="49"/>
      <c r="D106" s="49"/>
      <c r="E106" s="49"/>
      <c r="F106" s="49"/>
      <c r="G106" s="49"/>
      <c r="H106" s="49"/>
      <c r="I106" s="49"/>
      <c r="J106" s="49"/>
      <c r="K106" s="49"/>
      <c r="L106" s="49"/>
      <c r="M106" s="49"/>
      <c r="N106" s="49"/>
      <c r="O106"/>
      <c r="P106"/>
      <c r="Q106" s="27" t="s">
        <v>895</v>
      </c>
      <c r="R106" s="537">
        <v>6.1</v>
      </c>
      <c r="S106"/>
      <c r="T106"/>
      <c r="U106"/>
    </row>
    <row r="107" spans="1:25" s="37" customFormat="1" ht="16.5" customHeight="1" x14ac:dyDescent="0.25">
      <c r="A107" s="173" t="s">
        <v>9</v>
      </c>
      <c r="B107" s="75"/>
      <c r="C107" s="75"/>
      <c r="D107" s="49"/>
      <c r="E107" s="49"/>
      <c r="F107" s="49"/>
      <c r="G107" s="49"/>
      <c r="H107" s="49"/>
      <c r="I107" s="49"/>
      <c r="J107" s="49"/>
      <c r="K107" s="49"/>
      <c r="L107" s="49"/>
      <c r="M107" s="49"/>
      <c r="N107" s="49"/>
      <c r="O107"/>
      <c r="P107"/>
      <c r="Q107"/>
      <c r="R107"/>
      <c r="S107"/>
      <c r="T107"/>
      <c r="U107"/>
    </row>
    <row r="108" spans="1:25" ht="15" customHeight="1" x14ac:dyDescent="0.25">
      <c r="A108" s="49"/>
      <c r="B108" s="49"/>
      <c r="C108" s="49"/>
      <c r="D108" s="49"/>
      <c r="E108" s="49"/>
      <c r="F108" s="49"/>
      <c r="G108" s="49"/>
      <c r="H108" s="49"/>
      <c r="I108" s="49"/>
      <c r="J108" s="49"/>
      <c r="K108" s="49"/>
      <c r="L108" s="49"/>
      <c r="M108" s="49"/>
      <c r="N108" s="49"/>
    </row>
    <row r="109" spans="1:25" ht="15" customHeight="1" x14ac:dyDescent="0.25">
      <c r="A109" s="49"/>
      <c r="B109" s="904" t="s">
        <v>1597</v>
      </c>
      <c r="C109" s="49"/>
      <c r="D109" s="49"/>
      <c r="E109" s="49"/>
      <c r="F109" s="49"/>
      <c r="G109" s="49"/>
      <c r="H109" s="49"/>
      <c r="I109" s="49"/>
      <c r="J109" s="49"/>
      <c r="K109" s="49"/>
      <c r="L109" s="49"/>
      <c r="M109" s="49"/>
      <c r="N109" s="49"/>
    </row>
    <row r="110" spans="1:25" ht="15" customHeight="1" x14ac:dyDescent="0.25">
      <c r="A110" s="49"/>
      <c r="B110" s="49"/>
      <c r="C110" s="49"/>
      <c r="D110" s="49"/>
      <c r="E110" s="49"/>
      <c r="F110" s="49"/>
      <c r="G110" s="49"/>
      <c r="H110" s="49"/>
      <c r="I110" s="49"/>
      <c r="J110" s="49"/>
      <c r="K110" s="49"/>
      <c r="L110" s="49"/>
      <c r="M110" s="49"/>
      <c r="N110" s="49"/>
    </row>
    <row r="111" spans="1:25" ht="26.25" customHeight="1" x14ac:dyDescent="0.25">
      <c r="A111" s="49"/>
      <c r="B111" s="241" t="s">
        <v>54</v>
      </c>
      <c r="C111" s="242" t="s">
        <v>53</v>
      </c>
      <c r="D111" s="251" t="s">
        <v>49</v>
      </c>
      <c r="E111" s="251" t="s">
        <v>11</v>
      </c>
      <c r="F111" s="242" t="s">
        <v>55</v>
      </c>
      <c r="G111" s="242" t="s">
        <v>160</v>
      </c>
      <c r="H111" s="251" t="s">
        <v>94</v>
      </c>
      <c r="I111" s="242" t="s">
        <v>47</v>
      </c>
      <c r="J111" s="1629" t="s">
        <v>15</v>
      </c>
      <c r="K111" s="1630"/>
      <c r="L111" s="49"/>
      <c r="M111" s="49"/>
      <c r="N111" s="49"/>
      <c r="Q111" t="s">
        <v>52</v>
      </c>
      <c r="R111" s="6" t="s">
        <v>47</v>
      </c>
      <c r="S111" t="s">
        <v>906</v>
      </c>
      <c r="T111" t="s">
        <v>907</v>
      </c>
      <c r="U111" t="s">
        <v>908</v>
      </c>
      <c r="V111" t="s">
        <v>911</v>
      </c>
      <c r="W111" t="s">
        <v>909</v>
      </c>
      <c r="X111" t="s">
        <v>910</v>
      </c>
      <c r="Y111" t="s">
        <v>912</v>
      </c>
    </row>
    <row r="112" spans="1:25" x14ac:dyDescent="0.25">
      <c r="A112" s="49"/>
      <c r="B112" s="1131"/>
      <c r="C112" s="1131"/>
      <c r="D112" s="1131" t="s">
        <v>62</v>
      </c>
      <c r="E112" s="1132"/>
      <c r="F112" s="1131"/>
      <c r="G112" s="1131"/>
      <c r="H112" s="294" t="str">
        <f>IF(OR(D112="Select",D112="",L112&lt;&gt;""),"",IFERROR(IF(AND(F112&lt;&gt;"",G112&lt;&gt;""),G112/F112,""),""))</f>
        <v/>
      </c>
      <c r="I112" s="295" t="str">
        <f t="shared" ref="I112:I121" si="11">R112</f>
        <v/>
      </c>
      <c r="J112" s="1692"/>
      <c r="K112" s="1692"/>
      <c r="L112" s="1689" t="str">
        <f>IF(P112="N/A",IF(D112="split air-conditioner","","Unit type shouldn't be split air-conditioner"),"")</f>
        <v/>
      </c>
      <c r="M112" s="1690"/>
      <c r="N112" s="49"/>
      <c r="O112">
        <f t="shared" ref="O112:O121" si="12">IF(OR(D112="Select",D112="",L112&lt;&gt;""),0,E112*G112)</f>
        <v>0</v>
      </c>
      <c r="P112" t="str">
        <f>IF(OR(D112="Select",G112=""),"",IF(D112=$P$86,$Q$86,IF(D112=$P$87,IF(G112&lt;4.5,$Q$87,IF(G112&lt;7,$Q$88,IF(G112&lt;14,$Q$89,"N/A"))),IF(D112=$P$90,IF(G112&lt;14,"N/A",IF(G112&lt;19,$Q$90,IF(G112&lt;40,$Q$91,IF(G112&lt;70,$Q$92,IF(G112&lt;117,Q93,$Q$94))))),IF(D112=$P$95,IF(G112&lt;19,$Q$95,IF(G112&lt;40,$Q$96,IF(G112&lt;70,$Q$97,$Q$98))))))))</f>
        <v/>
      </c>
      <c r="Q112" t="str">
        <f>IF(OR(D112="Select",G112=""),"",IF(D112=$P$99,$Q$99,IF(D112=$P$100,$Q$100,IF(D112=$P$101,IF(G112&lt;528,$Q$101,IF(G112&lt;1055,$Q$102,$Q$103)),IF(D112=$P$104,IF(G112&lt;528,$Q$104,IF(G112&lt;1055,$Q$105,$Q$106)))))))</f>
        <v/>
      </c>
      <c r="R112" t="str">
        <f>IFERROR(IF(Q112=FALSE,VLOOKUP(P112,$Q$85:$R$106,2,FALSE),IF(P112=FALSE,VLOOKUP(Q112,$Q$85:$R$106,2,FALSE),"")),"")</f>
        <v/>
      </c>
      <c r="S112" t="str">
        <f t="shared" ref="S112:S121" si="13">IF(OR(D112="Select",D112=""),"",IF(COUNTIF($O$86:$O$89,D112)=0,"chiller","direct AC"))</f>
        <v/>
      </c>
      <c r="T112">
        <f t="shared" ref="T112:T121" si="14">IF(OR(S112="chiller",S112=""),0,H112)</f>
        <v>0</v>
      </c>
      <c r="U112">
        <f>IF(OR(S112="chiller",S112=""),0,O112)</f>
        <v>0</v>
      </c>
      <c r="V112">
        <f>IF(OR(S112="chiller",S112=""),0,R112)</f>
        <v>0</v>
      </c>
      <c r="W112">
        <f t="shared" ref="W112:W121" si="15">IF(S112="chiller",H112,0)</f>
        <v>0</v>
      </c>
      <c r="X112">
        <f>IF(S112="chiller",O112,0)</f>
        <v>0</v>
      </c>
      <c r="Y112">
        <f>IF(S112="chiller",R112,0)</f>
        <v>0</v>
      </c>
    </row>
    <row r="113" spans="1:25" x14ac:dyDescent="0.25">
      <c r="A113" s="49"/>
      <c r="B113" s="1133"/>
      <c r="C113" s="1131"/>
      <c r="D113" s="1131" t="s">
        <v>62</v>
      </c>
      <c r="E113" s="1134"/>
      <c r="F113" s="1133"/>
      <c r="G113" s="1133"/>
      <c r="H113" s="294" t="str">
        <f t="shared" ref="H113:H121" si="16">IF(OR(D113="Select",D113="",L113&lt;&gt;""),"",IFERROR(IF(AND(F113&lt;&gt;"",G113&lt;&gt;""),G113/F113,""),""))</f>
        <v/>
      </c>
      <c r="I113" s="294" t="str">
        <f t="shared" si="11"/>
        <v/>
      </c>
      <c r="J113" s="1648"/>
      <c r="K113" s="1648"/>
      <c r="L113" s="1689" t="str">
        <f>IF(Q113="N/A",IF(D113="split air-conditioner","","Unit type shouldn't be split air-conditioner"),"")</f>
        <v/>
      </c>
      <c r="M113" s="1690"/>
      <c r="N113" s="49"/>
      <c r="O113">
        <f t="shared" si="12"/>
        <v>0</v>
      </c>
      <c r="P113" t="str">
        <f t="shared" ref="P113:P121" si="17">IF(OR(D113="Select",G113=""),"",IF(D113=$P$86,$Q$86,IF(D113=$P$87,IF(G113&lt;4.5,$Q$87,IF(G113&lt;7,$Q$88,IF(G113&lt;14,$Q$89,"N/A"))),IF(D113=$P$90,IF(G113&lt;14,"N/A",IF(G113&lt;19,$Q$90,IF(G113&lt;40,$Q$91,IF(G113&lt;70,$Q$92,IF(G113&lt;117,Q94,$Q$94))))),IF(D113=$P$95,IF(G113&lt;19,$Q$95,IF(G113&lt;40,$Q$96,IF(G113&lt;70,$Q$97,$Q$98))))))))</f>
        <v/>
      </c>
      <c r="Q113" t="str">
        <f t="shared" ref="Q113:Q121" si="18">IF(OR(D113="Select",G113=""),"",IF(D113=$P$99,$Q$99,IF(D113=$P$100,$Q$100,IF(D113=$P$101,IF(G113&lt;528,$Q$101,IF(G113&lt;1055,$Q$102,$Q$103)),IF(D113=$P$104,IF(G113&lt;528,$Q$104,IF(G113&lt;1055,$Q$105,$Q$106)))))))</f>
        <v/>
      </c>
      <c r="R113" t="str">
        <f>IFERROR(IF(Q113=FALSE,VLOOKUP(P113,$Q$85:$R$106,2,FALSE),IF(P113=FALSE,VLOOKUP(Q113,$Q$85:$R$106,2,FALSE),"")),"")</f>
        <v/>
      </c>
      <c r="S113" t="str">
        <f t="shared" si="13"/>
        <v/>
      </c>
      <c r="T113">
        <f t="shared" si="14"/>
        <v>0</v>
      </c>
      <c r="U113">
        <f t="shared" ref="U113:U121" si="19">IF(OR(S113="chiller",S113=""),0,O113)</f>
        <v>0</v>
      </c>
      <c r="V113">
        <f t="shared" ref="V113:V121" si="20">IF(OR(S113="chiller",S113=""),0,R113)</f>
        <v>0</v>
      </c>
      <c r="W113">
        <f t="shared" si="15"/>
        <v>0</v>
      </c>
      <c r="X113">
        <f t="shared" ref="X113:X121" si="21">IF(S113="chiller",O113,0)</f>
        <v>0</v>
      </c>
      <c r="Y113">
        <f t="shared" ref="Y113:Y121" si="22">IF(S113="chiller",R113,0)</f>
        <v>0</v>
      </c>
    </row>
    <row r="114" spans="1:25" x14ac:dyDescent="0.25">
      <c r="A114" s="49"/>
      <c r="B114" s="1129"/>
      <c r="C114" s="1128"/>
      <c r="D114" s="1128" t="s">
        <v>62</v>
      </c>
      <c r="E114" s="1130"/>
      <c r="F114" s="1129"/>
      <c r="G114" s="1129"/>
      <c r="H114" s="294" t="str">
        <f t="shared" si="16"/>
        <v/>
      </c>
      <c r="I114" s="294" t="str">
        <f t="shared" si="11"/>
        <v/>
      </c>
      <c r="J114" s="1648"/>
      <c r="K114" s="1648"/>
      <c r="L114" s="1689" t="str">
        <f>IF(Q114="N/A",IF(D114="split air-conditioner","","Unit type shouldn't be split air-conditioner"),"")</f>
        <v/>
      </c>
      <c r="M114" s="1690"/>
      <c r="N114" s="49"/>
      <c r="O114">
        <f t="shared" si="12"/>
        <v>0</v>
      </c>
      <c r="P114" t="str">
        <f t="shared" si="17"/>
        <v/>
      </c>
      <c r="Q114" t="str">
        <f t="shared" si="18"/>
        <v/>
      </c>
      <c r="R114" t="str">
        <f>IFERROR(IF(Q114=FALSE,VLOOKUP(P114,$Q$85:$R$106,2,FALSE),IF(P114=FALSE,VLOOKUP(Q114,$Q$85:$R$106,2,FALSE),"")),"")</f>
        <v/>
      </c>
      <c r="S114" t="str">
        <f t="shared" si="13"/>
        <v/>
      </c>
      <c r="T114">
        <f t="shared" si="14"/>
        <v>0</v>
      </c>
      <c r="U114">
        <f t="shared" si="19"/>
        <v>0</v>
      </c>
      <c r="V114">
        <f t="shared" si="20"/>
        <v>0</v>
      </c>
      <c r="W114">
        <f t="shared" si="15"/>
        <v>0</v>
      </c>
      <c r="X114">
        <f t="shared" si="21"/>
        <v>0</v>
      </c>
      <c r="Y114">
        <f t="shared" si="22"/>
        <v>0</v>
      </c>
    </row>
    <row r="115" spans="1:25" x14ac:dyDescent="0.25">
      <c r="A115" s="49"/>
      <c r="B115" s="292"/>
      <c r="C115" s="292"/>
      <c r="D115" s="984" t="s">
        <v>62</v>
      </c>
      <c r="E115" s="293"/>
      <c r="F115" s="292"/>
      <c r="G115" s="292"/>
      <c r="H115" s="294" t="str">
        <f t="shared" si="16"/>
        <v/>
      </c>
      <c r="I115" s="294" t="str">
        <f t="shared" si="11"/>
        <v/>
      </c>
      <c r="J115" s="1648"/>
      <c r="K115" s="1648"/>
      <c r="L115" s="1689" t="str">
        <f t="shared" ref="L115:L121" si="23">IF(R115="N/A",IF(D115="split air-conditioner","","Unit type shouldn't be split air-conditioner"),"")</f>
        <v/>
      </c>
      <c r="M115" s="1690"/>
      <c r="N115" s="49"/>
      <c r="O115">
        <f t="shared" si="12"/>
        <v>0</v>
      </c>
      <c r="P115" t="str">
        <f t="shared" si="17"/>
        <v/>
      </c>
      <c r="Q115" t="str">
        <f t="shared" si="18"/>
        <v/>
      </c>
      <c r="R115" t="str">
        <f t="shared" ref="R115:R121" si="24">IFERROR(IF(Q115=FALSE,VLOOKUP(P115,$Q$85:$R$106,2,FALSE),IF(P115=FALSE,VLOOKUP(Q115,$Q$85:$R$106,2,FALSE),"")),"")</f>
        <v/>
      </c>
      <c r="S115" t="str">
        <f t="shared" si="13"/>
        <v/>
      </c>
      <c r="T115">
        <f t="shared" si="14"/>
        <v>0</v>
      </c>
      <c r="U115">
        <f t="shared" si="19"/>
        <v>0</v>
      </c>
      <c r="V115">
        <f t="shared" si="20"/>
        <v>0</v>
      </c>
      <c r="W115">
        <f t="shared" si="15"/>
        <v>0</v>
      </c>
      <c r="X115">
        <f t="shared" si="21"/>
        <v>0</v>
      </c>
      <c r="Y115">
        <f t="shared" si="22"/>
        <v>0</v>
      </c>
    </row>
    <row r="116" spans="1:25" x14ac:dyDescent="0.25">
      <c r="A116" s="49"/>
      <c r="B116" s="292"/>
      <c r="C116" s="292"/>
      <c r="D116" s="535" t="s">
        <v>62</v>
      </c>
      <c r="E116" s="293"/>
      <c r="F116" s="292"/>
      <c r="G116" s="292"/>
      <c r="H116" s="294" t="str">
        <f t="shared" si="16"/>
        <v/>
      </c>
      <c r="I116" s="294" t="str">
        <f t="shared" si="11"/>
        <v/>
      </c>
      <c r="J116" s="1648"/>
      <c r="K116" s="1648"/>
      <c r="L116" s="1689" t="str">
        <f t="shared" si="23"/>
        <v/>
      </c>
      <c r="M116" s="1690"/>
      <c r="N116" s="49"/>
      <c r="O116">
        <f t="shared" si="12"/>
        <v>0</v>
      </c>
      <c r="P116" t="str">
        <f t="shared" si="17"/>
        <v/>
      </c>
      <c r="Q116" t="str">
        <f t="shared" si="18"/>
        <v/>
      </c>
      <c r="R116" t="str">
        <f t="shared" si="24"/>
        <v/>
      </c>
      <c r="S116" t="str">
        <f t="shared" si="13"/>
        <v/>
      </c>
      <c r="T116">
        <f t="shared" si="14"/>
        <v>0</v>
      </c>
      <c r="U116">
        <f t="shared" si="19"/>
        <v>0</v>
      </c>
      <c r="V116">
        <f t="shared" si="20"/>
        <v>0</v>
      </c>
      <c r="W116">
        <f t="shared" si="15"/>
        <v>0</v>
      </c>
      <c r="X116">
        <f t="shared" si="21"/>
        <v>0</v>
      </c>
      <c r="Y116">
        <f t="shared" si="22"/>
        <v>0</v>
      </c>
    </row>
    <row r="117" spans="1:25" x14ac:dyDescent="0.25">
      <c r="A117" s="49"/>
      <c r="B117" s="292"/>
      <c r="C117" s="292"/>
      <c r="D117" s="535" t="s">
        <v>62</v>
      </c>
      <c r="E117" s="293"/>
      <c r="F117" s="292"/>
      <c r="G117" s="292"/>
      <c r="H117" s="294" t="str">
        <f t="shared" si="16"/>
        <v/>
      </c>
      <c r="I117" s="294" t="str">
        <f t="shared" si="11"/>
        <v/>
      </c>
      <c r="J117" s="1648"/>
      <c r="K117" s="1648"/>
      <c r="L117" s="1689" t="str">
        <f t="shared" si="23"/>
        <v/>
      </c>
      <c r="M117" s="1690"/>
      <c r="N117" s="49"/>
      <c r="O117">
        <f t="shared" si="12"/>
        <v>0</v>
      </c>
      <c r="P117" t="str">
        <f t="shared" si="17"/>
        <v/>
      </c>
      <c r="Q117" t="str">
        <f t="shared" si="18"/>
        <v/>
      </c>
      <c r="R117" t="str">
        <f t="shared" si="24"/>
        <v/>
      </c>
      <c r="S117" t="str">
        <f t="shared" si="13"/>
        <v/>
      </c>
      <c r="T117">
        <f t="shared" si="14"/>
        <v>0</v>
      </c>
      <c r="U117">
        <f t="shared" si="19"/>
        <v>0</v>
      </c>
      <c r="V117">
        <f t="shared" si="20"/>
        <v>0</v>
      </c>
      <c r="W117">
        <f t="shared" si="15"/>
        <v>0</v>
      </c>
      <c r="X117">
        <f t="shared" si="21"/>
        <v>0</v>
      </c>
      <c r="Y117">
        <f t="shared" si="22"/>
        <v>0</v>
      </c>
    </row>
    <row r="118" spans="1:25" x14ac:dyDescent="0.25">
      <c r="A118" s="49"/>
      <c r="B118" s="292"/>
      <c r="C118" s="292"/>
      <c r="D118" s="535" t="s">
        <v>62</v>
      </c>
      <c r="E118" s="293"/>
      <c r="F118" s="292"/>
      <c r="G118" s="292"/>
      <c r="H118" s="294" t="str">
        <f t="shared" si="16"/>
        <v/>
      </c>
      <c r="I118" s="294" t="str">
        <f t="shared" si="11"/>
        <v/>
      </c>
      <c r="J118" s="1648"/>
      <c r="K118" s="1648"/>
      <c r="L118" s="1689" t="str">
        <f t="shared" si="23"/>
        <v/>
      </c>
      <c r="M118" s="1690"/>
      <c r="N118" s="49"/>
      <c r="O118">
        <f t="shared" si="12"/>
        <v>0</v>
      </c>
      <c r="P118" t="str">
        <f t="shared" si="17"/>
        <v/>
      </c>
      <c r="Q118" t="str">
        <f t="shared" si="18"/>
        <v/>
      </c>
      <c r="R118" t="str">
        <f t="shared" si="24"/>
        <v/>
      </c>
      <c r="S118" t="str">
        <f t="shared" si="13"/>
        <v/>
      </c>
      <c r="T118">
        <f t="shared" si="14"/>
        <v>0</v>
      </c>
      <c r="U118">
        <f t="shared" si="19"/>
        <v>0</v>
      </c>
      <c r="V118">
        <f t="shared" si="20"/>
        <v>0</v>
      </c>
      <c r="W118">
        <f t="shared" si="15"/>
        <v>0</v>
      </c>
      <c r="X118">
        <f t="shared" si="21"/>
        <v>0</v>
      </c>
      <c r="Y118">
        <f t="shared" si="22"/>
        <v>0</v>
      </c>
    </row>
    <row r="119" spans="1:25" x14ac:dyDescent="0.25">
      <c r="A119" s="49"/>
      <c r="B119" s="292"/>
      <c r="C119" s="292"/>
      <c r="D119" s="535" t="s">
        <v>62</v>
      </c>
      <c r="E119" s="293"/>
      <c r="F119" s="292"/>
      <c r="G119" s="292"/>
      <c r="H119" s="294" t="str">
        <f t="shared" si="16"/>
        <v/>
      </c>
      <c r="I119" s="294" t="str">
        <f t="shared" si="11"/>
        <v/>
      </c>
      <c r="J119" s="1648"/>
      <c r="K119" s="1648"/>
      <c r="L119" s="1689" t="str">
        <f t="shared" si="23"/>
        <v/>
      </c>
      <c r="M119" s="1690"/>
      <c r="N119" s="49"/>
      <c r="O119">
        <f t="shared" si="12"/>
        <v>0</v>
      </c>
      <c r="P119" t="str">
        <f t="shared" si="17"/>
        <v/>
      </c>
      <c r="Q119" t="str">
        <f t="shared" si="18"/>
        <v/>
      </c>
      <c r="R119" t="str">
        <f t="shared" si="24"/>
        <v/>
      </c>
      <c r="S119" t="str">
        <f t="shared" si="13"/>
        <v/>
      </c>
      <c r="T119">
        <f t="shared" si="14"/>
        <v>0</v>
      </c>
      <c r="U119">
        <f t="shared" si="19"/>
        <v>0</v>
      </c>
      <c r="V119">
        <f t="shared" si="20"/>
        <v>0</v>
      </c>
      <c r="W119">
        <f t="shared" si="15"/>
        <v>0</v>
      </c>
      <c r="X119">
        <f t="shared" si="21"/>
        <v>0</v>
      </c>
      <c r="Y119">
        <f t="shared" si="22"/>
        <v>0</v>
      </c>
    </row>
    <row r="120" spans="1:25" x14ac:dyDescent="0.25">
      <c r="A120" s="49"/>
      <c r="B120" s="292"/>
      <c r="C120" s="292"/>
      <c r="D120" s="535" t="s">
        <v>62</v>
      </c>
      <c r="E120" s="293"/>
      <c r="F120" s="292"/>
      <c r="G120" s="292"/>
      <c r="H120" s="294" t="str">
        <f t="shared" si="16"/>
        <v/>
      </c>
      <c r="I120" s="294" t="str">
        <f t="shared" si="11"/>
        <v/>
      </c>
      <c r="J120" s="1648"/>
      <c r="K120" s="1648"/>
      <c r="L120" s="1689" t="str">
        <f t="shared" si="23"/>
        <v/>
      </c>
      <c r="M120" s="1690"/>
      <c r="N120" s="49"/>
      <c r="O120">
        <f t="shared" si="12"/>
        <v>0</v>
      </c>
      <c r="P120" t="str">
        <f t="shared" si="17"/>
        <v/>
      </c>
      <c r="Q120" t="str">
        <f t="shared" si="18"/>
        <v/>
      </c>
      <c r="R120" t="str">
        <f t="shared" si="24"/>
        <v/>
      </c>
      <c r="S120" t="str">
        <f t="shared" si="13"/>
        <v/>
      </c>
      <c r="T120">
        <f t="shared" si="14"/>
        <v>0</v>
      </c>
      <c r="U120">
        <f t="shared" si="19"/>
        <v>0</v>
      </c>
      <c r="V120">
        <f t="shared" si="20"/>
        <v>0</v>
      </c>
      <c r="W120">
        <f t="shared" si="15"/>
        <v>0</v>
      </c>
      <c r="X120">
        <f t="shared" si="21"/>
        <v>0</v>
      </c>
      <c r="Y120">
        <f t="shared" si="22"/>
        <v>0</v>
      </c>
    </row>
    <row r="121" spans="1:25" x14ac:dyDescent="0.25">
      <c r="A121" s="49"/>
      <c r="B121" s="292"/>
      <c r="C121" s="292"/>
      <c r="D121" s="535" t="s">
        <v>62</v>
      </c>
      <c r="E121" s="293"/>
      <c r="F121" s="292"/>
      <c r="G121" s="292"/>
      <c r="H121" s="294" t="str">
        <f t="shared" si="16"/>
        <v/>
      </c>
      <c r="I121" s="294" t="str">
        <f t="shared" si="11"/>
        <v/>
      </c>
      <c r="J121" s="1648"/>
      <c r="K121" s="1648"/>
      <c r="L121" s="1689" t="str">
        <f t="shared" si="23"/>
        <v/>
      </c>
      <c r="M121" s="1690"/>
      <c r="N121" s="49"/>
      <c r="O121">
        <f t="shared" si="12"/>
        <v>0</v>
      </c>
      <c r="P121" t="str">
        <f t="shared" si="17"/>
        <v/>
      </c>
      <c r="Q121" t="str">
        <f t="shared" si="18"/>
        <v/>
      </c>
      <c r="R121" t="str">
        <f t="shared" si="24"/>
        <v/>
      </c>
      <c r="S121" t="str">
        <f t="shared" si="13"/>
        <v/>
      </c>
      <c r="T121">
        <f t="shared" si="14"/>
        <v>0</v>
      </c>
      <c r="U121">
        <f t="shared" si="19"/>
        <v>0</v>
      </c>
      <c r="V121">
        <f t="shared" si="20"/>
        <v>0</v>
      </c>
      <c r="W121">
        <f t="shared" si="15"/>
        <v>0</v>
      </c>
      <c r="X121">
        <f t="shared" si="21"/>
        <v>0</v>
      </c>
      <c r="Y121">
        <f t="shared" si="22"/>
        <v>0</v>
      </c>
    </row>
    <row r="122" spans="1:25" x14ac:dyDescent="0.25">
      <c r="A122" s="49"/>
      <c r="B122" s="49"/>
      <c r="C122" s="49"/>
      <c r="D122" s="49"/>
      <c r="E122" s="49"/>
      <c r="F122" s="49"/>
      <c r="G122" s="325"/>
      <c r="H122" s="49"/>
      <c r="I122" s="49"/>
      <c r="J122" s="49"/>
      <c r="K122" s="49"/>
      <c r="L122" s="49"/>
      <c r="M122" s="49"/>
      <c r="N122" s="49"/>
      <c r="S122" t="str">
        <f t="shared" ref="S122" si="25">IFERROR(VLOOKUP(R122,$Q$85:$R$98,2,FALSE),"")</f>
        <v/>
      </c>
      <c r="T122" s="37" t="str">
        <f>IFERROR(SUMPRODUCT(T112:T121,U112:U121)/SUM(U112:U121),"")</f>
        <v/>
      </c>
      <c r="V122" t="str">
        <f>IFERROR(SUMPRODUCT(V112:V121,U112:U121)/SUM(U112:U121),"")</f>
        <v/>
      </c>
      <c r="W122" s="37" t="str">
        <f>IFERROR(SUMPRODUCT(W112:W121,X112:X121)/SUM(X112:X121),"")</f>
        <v/>
      </c>
      <c r="Y122" t="str">
        <f>IFERROR(SUMPRODUCT(Y112:Y121,X112:X121)/SUM(X112:X121),"")</f>
        <v/>
      </c>
    </row>
    <row r="123" spans="1:25" x14ac:dyDescent="0.25">
      <c r="A123" s="49"/>
      <c r="B123" s="121" t="s">
        <v>901</v>
      </c>
      <c r="C123" s="49"/>
      <c r="D123" s="49"/>
      <c r="E123" s="49"/>
      <c r="F123" s="49"/>
      <c r="G123" s="121" t="s">
        <v>904</v>
      </c>
      <c r="H123" s="49"/>
      <c r="I123" s="49"/>
      <c r="J123" s="49"/>
      <c r="K123" s="49"/>
      <c r="L123" s="49"/>
      <c r="M123" s="49"/>
      <c r="N123" s="49"/>
      <c r="T123" s="37"/>
    </row>
    <row r="124" spans="1:25" ht="18" customHeight="1" x14ac:dyDescent="0.25">
      <c r="A124" s="49"/>
      <c r="B124" s="1678" t="s">
        <v>902</v>
      </c>
      <c r="C124" s="1679"/>
      <c r="D124" s="1680"/>
      <c r="E124" s="557" t="str">
        <f>T122</f>
        <v/>
      </c>
      <c r="F124" s="49"/>
      <c r="G124" s="1678" t="s">
        <v>905</v>
      </c>
      <c r="H124" s="1679"/>
      <c r="I124" s="1680"/>
      <c r="J124" s="557" t="str">
        <f>W122</f>
        <v/>
      </c>
      <c r="K124" s="49"/>
      <c r="L124" s="49"/>
      <c r="M124" s="49"/>
      <c r="N124" s="49"/>
      <c r="T124" s="37"/>
    </row>
    <row r="125" spans="1:25" ht="18" customHeight="1" x14ac:dyDescent="0.25">
      <c r="A125" s="49"/>
      <c r="B125" s="1678" t="s">
        <v>903</v>
      </c>
      <c r="C125" s="1679"/>
      <c r="D125" s="1680"/>
      <c r="E125" s="557" t="str">
        <f>V122</f>
        <v/>
      </c>
      <c r="F125" s="49"/>
      <c r="G125" s="1678" t="s">
        <v>903</v>
      </c>
      <c r="H125" s="1679"/>
      <c r="I125" s="1680"/>
      <c r="J125" s="557" t="str">
        <f>Y122</f>
        <v/>
      </c>
      <c r="K125" s="49"/>
      <c r="L125" s="49"/>
      <c r="M125" s="49"/>
      <c r="N125" s="49"/>
      <c r="T125" s="37"/>
    </row>
    <row r="126" spans="1:25" ht="18" customHeight="1" x14ac:dyDescent="0.25">
      <c r="A126" s="49"/>
      <c r="B126" s="1678" t="s">
        <v>899</v>
      </c>
      <c r="C126" s="1679"/>
      <c r="D126" s="1680"/>
      <c r="E126" s="137" t="str">
        <f>IFERROR(E124/E125-1,"")</f>
        <v/>
      </c>
      <c r="F126" s="49"/>
      <c r="G126" s="1678" t="s">
        <v>900</v>
      </c>
      <c r="H126" s="1679"/>
      <c r="I126" s="1680"/>
      <c r="J126" s="137" t="str">
        <f>IFERROR(J124/J125-1,"")</f>
        <v/>
      </c>
      <c r="K126" s="49"/>
      <c r="L126" s="49"/>
      <c r="M126" s="49"/>
      <c r="N126" s="49"/>
      <c r="T126" s="37"/>
    </row>
    <row r="127" spans="1:25" ht="20.25" customHeight="1" x14ac:dyDescent="0.25">
      <c r="A127" s="49"/>
      <c r="B127" s="49"/>
      <c r="C127" s="49"/>
      <c r="D127" s="49"/>
      <c r="E127" s="49"/>
      <c r="F127" s="49"/>
      <c r="G127" s="49"/>
      <c r="H127" s="49"/>
      <c r="I127" s="49"/>
      <c r="J127" s="49"/>
      <c r="K127" s="49"/>
      <c r="L127" s="49"/>
      <c r="M127" s="49"/>
      <c r="N127" s="49"/>
      <c r="Q127" s="37"/>
      <c r="R127" s="37"/>
      <c r="S127" s="37"/>
      <c r="T127" s="37"/>
      <c r="U127" s="37"/>
    </row>
    <row r="128" spans="1:25" ht="16.5" customHeight="1" x14ac:dyDescent="0.25">
      <c r="A128" s="173" t="s">
        <v>97</v>
      </c>
      <c r="B128" s="75"/>
      <c r="C128" s="75"/>
      <c r="D128" s="49"/>
      <c r="E128" s="49"/>
      <c r="F128" s="49"/>
      <c r="G128" s="49"/>
      <c r="H128" s="49"/>
      <c r="I128" s="49"/>
      <c r="J128" s="49"/>
      <c r="K128" s="49"/>
      <c r="L128" s="49"/>
      <c r="M128" s="49"/>
      <c r="N128" s="49"/>
      <c r="Q128" s="37"/>
      <c r="R128" s="37"/>
      <c r="S128" s="37"/>
      <c r="T128" s="37"/>
      <c r="U128" s="37"/>
    </row>
    <row r="129" spans="1:21" x14ac:dyDescent="0.25">
      <c r="A129" s="49"/>
      <c r="B129" s="49"/>
      <c r="C129" s="49"/>
      <c r="D129" s="49"/>
      <c r="E129" s="49"/>
      <c r="F129" s="49"/>
      <c r="G129" s="49"/>
      <c r="H129" s="49"/>
      <c r="I129" s="49"/>
      <c r="J129" s="49"/>
      <c r="K129" s="49"/>
      <c r="L129" s="49"/>
      <c r="M129" s="49"/>
      <c r="N129" s="49"/>
      <c r="Q129" s="37"/>
      <c r="R129" s="37"/>
      <c r="S129" s="37"/>
      <c r="T129" s="37"/>
      <c r="U129" s="37"/>
    </row>
    <row r="130" spans="1:21" ht="21" customHeight="1" x14ac:dyDescent="0.25">
      <c r="A130" s="49"/>
      <c r="B130" s="1627" t="s">
        <v>98</v>
      </c>
      <c r="C130" s="1628"/>
      <c r="D130" s="1628"/>
      <c r="E130" s="1628"/>
      <c r="F130" s="1628"/>
      <c r="G130" s="781" t="s">
        <v>1297</v>
      </c>
      <c r="H130" s="1629" t="s">
        <v>1298</v>
      </c>
      <c r="I130" s="1630"/>
      <c r="J130" s="49"/>
      <c r="K130" s="49"/>
      <c r="L130" s="49"/>
      <c r="M130" s="49"/>
      <c r="N130" s="49"/>
      <c r="Q130" s="37"/>
      <c r="R130" s="37"/>
      <c r="S130" s="37"/>
      <c r="U130" s="37"/>
    </row>
    <row r="131" spans="1:21" ht="27" customHeight="1" x14ac:dyDescent="0.25">
      <c r="A131" s="49"/>
      <c r="B131" s="1644" t="str">
        <f>Submittals!H4</f>
        <v>Select the Submission Stage in Project Information</v>
      </c>
      <c r="C131" s="1645" t="s">
        <v>294</v>
      </c>
      <c r="D131" s="1645"/>
      <c r="E131" s="1645"/>
      <c r="F131" s="1646"/>
      <c r="G131" s="780" t="s">
        <v>62</v>
      </c>
      <c r="H131" s="1625"/>
      <c r="I131" s="1626"/>
      <c r="J131" s="49"/>
      <c r="K131" s="49"/>
      <c r="L131" s="49"/>
      <c r="M131" s="49"/>
      <c r="N131" s="49"/>
      <c r="O131" s="37" t="str">
        <f>IF(OR(B131="/",B131="No evidence required at this submission stage"),"Yes",IF(G131="Submitted","Yes","No"))</f>
        <v>No</v>
      </c>
      <c r="Q131" s="37"/>
      <c r="R131" s="37"/>
      <c r="S131" s="37"/>
      <c r="U131" s="37"/>
    </row>
    <row r="132" spans="1:21" ht="27" customHeight="1" x14ac:dyDescent="0.25">
      <c r="A132" s="49"/>
      <c r="B132" s="1644" t="str">
        <f>Submittals!H5</f>
        <v>Select the Submission Stage in Project Information</v>
      </c>
      <c r="C132" s="1645" t="s">
        <v>294</v>
      </c>
      <c r="D132" s="1645"/>
      <c r="E132" s="1645"/>
      <c r="F132" s="1646"/>
      <c r="G132" s="983" t="s">
        <v>62</v>
      </c>
      <c r="H132" s="1625"/>
      <c r="I132" s="1626"/>
      <c r="J132" s="49"/>
      <c r="K132" s="49"/>
      <c r="L132" s="49"/>
      <c r="M132" s="49"/>
      <c r="N132" s="49"/>
      <c r="O132" s="37" t="str">
        <f t="shared" ref="O132:O133" si="26">IF(OR(B132="/",B132="No evidence required at this submission stage"),"Yes",IF(G132="Submitted","Yes","No"))</f>
        <v>No</v>
      </c>
      <c r="Q132" s="37"/>
      <c r="R132" s="37"/>
      <c r="S132" s="37"/>
      <c r="U132" s="37"/>
    </row>
    <row r="133" spans="1:21" ht="27" customHeight="1" x14ac:dyDescent="0.25">
      <c r="A133" s="49"/>
      <c r="B133" s="1644" t="str">
        <f>Submittals!H6</f>
        <v>Select the Submission Stage in Project Information</v>
      </c>
      <c r="C133" s="1645" t="s">
        <v>294</v>
      </c>
      <c r="D133" s="1645"/>
      <c r="E133" s="1645"/>
      <c r="F133" s="1646"/>
      <c r="G133" s="983" t="s">
        <v>62</v>
      </c>
      <c r="H133" s="1625"/>
      <c r="I133" s="1626"/>
      <c r="J133" s="49"/>
      <c r="K133" s="49"/>
      <c r="L133" s="49"/>
      <c r="M133" s="49"/>
      <c r="N133" s="49"/>
      <c r="O133" s="37" t="str">
        <f t="shared" si="26"/>
        <v>No</v>
      </c>
      <c r="U133" s="37"/>
    </row>
    <row r="134" spans="1:21" ht="16.5" customHeight="1" x14ac:dyDescent="0.25">
      <c r="A134" s="49"/>
      <c r="B134" s="49"/>
      <c r="C134" s="49"/>
      <c r="D134" s="49"/>
      <c r="E134" s="49"/>
      <c r="F134" s="49"/>
      <c r="G134" s="49"/>
      <c r="H134" s="49"/>
      <c r="I134" s="49"/>
      <c r="J134" s="49"/>
      <c r="K134" s="49"/>
      <c r="L134" s="49"/>
      <c r="M134" s="49"/>
      <c r="N134" s="49"/>
      <c r="U134" s="37"/>
    </row>
    <row r="135" spans="1:21" ht="16.5" customHeight="1" x14ac:dyDescent="0.25">
      <c r="A135" s="1677" t="s">
        <v>8</v>
      </c>
      <c r="B135" s="1677"/>
      <c r="C135" s="1677"/>
      <c r="D135" s="49"/>
      <c r="E135" s="49"/>
      <c r="F135" s="49"/>
      <c r="G135" s="49"/>
      <c r="H135" s="49"/>
      <c r="I135" s="49"/>
      <c r="J135" s="49"/>
      <c r="K135" s="49"/>
      <c r="L135" s="49"/>
      <c r="M135" s="49"/>
      <c r="N135" s="49"/>
      <c r="Q135" s="37"/>
      <c r="R135" s="37"/>
      <c r="S135" s="37"/>
      <c r="U135" s="37"/>
    </row>
    <row r="136" spans="1:21" ht="15" customHeight="1" x14ac:dyDescent="0.25">
      <c r="A136" s="49"/>
      <c r="B136" s="49"/>
      <c r="C136" s="49"/>
      <c r="D136" s="49"/>
      <c r="E136" s="49"/>
      <c r="F136" s="49"/>
      <c r="G136" s="49"/>
      <c r="H136" s="49"/>
      <c r="I136" s="49"/>
      <c r="J136" s="49"/>
      <c r="K136" s="49"/>
      <c r="L136" s="49"/>
      <c r="M136" s="49"/>
      <c r="N136" s="49"/>
      <c r="U136" s="37"/>
    </row>
    <row r="137" spans="1:21" ht="16.5" customHeight="1" x14ac:dyDescent="0.25">
      <c r="A137" s="49"/>
      <c r="B137" s="110" t="s">
        <v>19</v>
      </c>
      <c r="C137" s="8">
        <f>IF(AND(E126="",J126=""),0,IF(AND(E126&gt;=0.4,J126&gt;=0.2),4,IF(AND(E126&gt;=0.3,J126&gt;=0.15),3,IF(AND(E126&gt;=0.2,J126&gt;=0.1),2,IF(AND(E126&gt;=0.1,J126&gt;=0.05),1,0)))))</f>
        <v>0</v>
      </c>
      <c r="D137" s="49"/>
      <c r="E137" s="49"/>
      <c r="F137" s="49"/>
      <c r="G137" s="49"/>
      <c r="H137" s="49"/>
      <c r="I137" s="49"/>
      <c r="J137" s="49"/>
      <c r="K137" s="49"/>
      <c r="L137" s="49"/>
      <c r="M137" s="49"/>
      <c r="N137" s="49"/>
    </row>
    <row r="138" spans="1:21" ht="16.5" customHeight="1" x14ac:dyDescent="0.25">
      <c r="A138" s="49"/>
      <c r="B138" s="110" t="s">
        <v>151</v>
      </c>
      <c r="C138" s="7" t="str">
        <f>IF(AND(COUNTIF(O131:O133,"Yes")=3,C137&gt;0),"Yes","No")</f>
        <v>No</v>
      </c>
      <c r="D138" s="49"/>
      <c r="E138" s="49"/>
      <c r="F138" s="49"/>
      <c r="G138" s="49"/>
      <c r="H138" s="49"/>
      <c r="I138" s="49"/>
      <c r="J138" s="49"/>
      <c r="K138" s="49"/>
      <c r="L138" s="49"/>
      <c r="M138" s="49"/>
      <c r="N138" s="49"/>
    </row>
    <row r="139" spans="1:21" ht="20.25" customHeight="1" x14ac:dyDescent="0.25">
      <c r="A139" s="49"/>
      <c r="B139" s="49"/>
      <c r="C139" s="49"/>
      <c r="D139" s="49"/>
      <c r="E139" s="49"/>
      <c r="F139" s="49"/>
      <c r="G139" s="49"/>
      <c r="H139" s="49"/>
      <c r="I139" s="49"/>
      <c r="J139" s="49"/>
      <c r="K139" s="49"/>
      <c r="L139" s="49"/>
      <c r="M139" s="49"/>
      <c r="N139" s="49"/>
    </row>
    <row r="140" spans="1:21" ht="18" customHeight="1" x14ac:dyDescent="0.25">
      <c r="A140" s="1676" t="s">
        <v>1320</v>
      </c>
      <c r="B140" s="1676"/>
      <c r="C140" s="1676"/>
      <c r="D140" s="1676"/>
      <c r="E140" s="1676"/>
      <c r="F140" s="1676"/>
      <c r="G140" s="1676"/>
      <c r="H140" s="1676"/>
      <c r="I140" s="1676"/>
      <c r="J140" s="1676"/>
      <c r="K140" s="1676"/>
      <c r="L140" s="1676"/>
      <c r="M140" s="1676"/>
      <c r="N140" s="1676"/>
    </row>
    <row r="141" spans="1:21" ht="14.25" customHeight="1" x14ac:dyDescent="0.25">
      <c r="A141" s="48"/>
      <c r="B141" s="48"/>
      <c r="C141" s="48"/>
      <c r="D141" s="48"/>
      <c r="E141" s="48"/>
      <c r="F141" s="48"/>
      <c r="G141" s="48"/>
      <c r="H141" s="48"/>
      <c r="I141" s="48"/>
      <c r="J141" s="48"/>
      <c r="K141" s="48"/>
      <c r="L141" s="48"/>
      <c r="M141" s="48"/>
      <c r="N141" s="48"/>
    </row>
    <row r="142" spans="1:21" ht="16.5" customHeight="1" x14ac:dyDescent="0.25">
      <c r="A142" s="1677" t="s">
        <v>117</v>
      </c>
      <c r="B142" s="1677"/>
      <c r="C142" s="1677"/>
      <c r="D142" s="49"/>
      <c r="E142" s="49"/>
      <c r="F142" s="49"/>
      <c r="G142" s="49"/>
      <c r="H142" s="49"/>
      <c r="I142" s="49"/>
      <c r="J142" s="49"/>
      <c r="K142" s="49"/>
      <c r="L142" s="49"/>
      <c r="M142" s="49"/>
      <c r="N142" s="49"/>
    </row>
    <row r="143" spans="1:21" ht="11.25" customHeight="1" x14ac:dyDescent="0.25">
      <c r="A143" s="49"/>
      <c r="B143" s="49"/>
      <c r="C143" s="49"/>
      <c r="D143" s="49"/>
      <c r="E143" s="49"/>
      <c r="F143" s="49"/>
      <c r="G143" s="49"/>
      <c r="H143" s="49"/>
      <c r="I143" s="49"/>
      <c r="J143" s="49"/>
      <c r="K143" s="49"/>
      <c r="L143" s="49"/>
      <c r="M143" s="49"/>
      <c r="N143" s="49"/>
    </row>
    <row r="144" spans="1:21" ht="18" customHeight="1" x14ac:dyDescent="0.25">
      <c r="A144" s="49"/>
      <c r="B144" s="1078" t="s">
        <v>2064</v>
      </c>
      <c r="C144" s="48"/>
      <c r="D144" s="49"/>
      <c r="E144" s="49"/>
      <c r="F144" s="49"/>
      <c r="G144" s="49"/>
      <c r="H144" s="49"/>
      <c r="I144" s="49"/>
      <c r="J144" s="49"/>
      <c r="K144" s="49"/>
      <c r="L144" s="49"/>
      <c r="M144" s="49"/>
      <c r="N144" s="49"/>
    </row>
    <row r="145" spans="1:14" x14ac:dyDescent="0.25">
      <c r="A145" s="49"/>
      <c r="B145" s="324"/>
      <c r="C145" s="48"/>
      <c r="D145" s="49"/>
      <c r="E145" s="49"/>
      <c r="F145" s="49"/>
      <c r="G145" s="49"/>
      <c r="H145" s="49"/>
      <c r="I145" s="49"/>
      <c r="J145" s="49"/>
      <c r="K145" s="49"/>
      <c r="L145" s="49"/>
      <c r="M145" s="49"/>
      <c r="N145" s="49"/>
    </row>
    <row r="146" spans="1:14" x14ac:dyDescent="0.25">
      <c r="A146" s="49"/>
      <c r="B146" s="680" t="s">
        <v>768</v>
      </c>
      <c r="C146" s="49"/>
      <c r="D146" s="49"/>
      <c r="E146" s="49"/>
      <c r="F146" s="49"/>
      <c r="G146" s="49"/>
      <c r="H146" s="49"/>
      <c r="I146" s="49"/>
      <c r="J146" s="49"/>
      <c r="K146" s="49"/>
      <c r="L146" s="49"/>
      <c r="M146" s="49"/>
      <c r="N146" s="49"/>
    </row>
    <row r="147" spans="1:14" x14ac:dyDescent="0.25">
      <c r="A147" s="49"/>
      <c r="B147" s="680"/>
      <c r="C147" s="49"/>
      <c r="D147" s="49"/>
      <c r="E147" s="49"/>
      <c r="F147" s="49"/>
      <c r="G147" s="49"/>
      <c r="H147" s="49"/>
      <c r="I147" s="49"/>
      <c r="J147" s="49"/>
      <c r="K147" s="49"/>
      <c r="L147" s="49"/>
      <c r="M147" s="49"/>
      <c r="N147" s="49"/>
    </row>
    <row r="148" spans="1:14" ht="68.25" customHeight="1" x14ac:dyDescent="0.25">
      <c r="A148" s="49"/>
      <c r="B148" s="1659" t="s">
        <v>1974</v>
      </c>
      <c r="C148" s="1660"/>
      <c r="D148" s="1660"/>
      <c r="E148" s="1660"/>
      <c r="F148" s="1660"/>
      <c r="G148" s="1660"/>
      <c r="H148" s="1660"/>
      <c r="I148" s="1660"/>
      <c r="J148" s="1661"/>
      <c r="K148" s="49"/>
      <c r="L148" s="49"/>
      <c r="M148" s="49"/>
      <c r="N148" s="49"/>
    </row>
    <row r="149" spans="1:14" x14ac:dyDescent="0.25">
      <c r="A149" s="49"/>
      <c r="B149" s="680"/>
      <c r="C149" s="49"/>
      <c r="D149" s="49"/>
      <c r="E149" s="49"/>
      <c r="F149" s="49"/>
      <c r="G149" s="49"/>
      <c r="H149" s="49"/>
      <c r="I149" s="49"/>
      <c r="J149" s="49"/>
      <c r="K149" s="49"/>
      <c r="L149" s="49"/>
      <c r="M149" s="49"/>
      <c r="N149" s="49"/>
    </row>
    <row r="150" spans="1:14" x14ac:dyDescent="0.25">
      <c r="A150" s="49"/>
      <c r="B150" s="671" t="s">
        <v>1004</v>
      </c>
      <c r="C150" s="49"/>
      <c r="D150" s="49"/>
      <c r="E150" s="49"/>
      <c r="F150" s="49"/>
      <c r="G150" s="49"/>
      <c r="H150" s="49"/>
      <c r="I150" s="49"/>
      <c r="J150" s="49"/>
      <c r="K150" s="49"/>
      <c r="L150" s="49"/>
      <c r="M150" s="49"/>
      <c r="N150" s="49"/>
    </row>
    <row r="151" spans="1:14" ht="11.25" customHeight="1" x14ac:dyDescent="0.25">
      <c r="A151" s="49"/>
      <c r="B151" s="126"/>
      <c r="C151" s="49"/>
      <c r="D151" s="49"/>
      <c r="E151" s="49"/>
      <c r="F151" s="49"/>
      <c r="G151" s="49"/>
      <c r="H151" s="49"/>
      <c r="I151" s="49"/>
      <c r="J151" s="49"/>
      <c r="K151" s="49"/>
      <c r="L151" s="49"/>
      <c r="M151" s="49"/>
      <c r="N151" s="49"/>
    </row>
    <row r="152" spans="1:14" ht="18" customHeight="1" x14ac:dyDescent="0.25">
      <c r="A152" s="49"/>
      <c r="B152" s="1620" t="s">
        <v>1237</v>
      </c>
      <c r="C152" s="1620"/>
      <c r="D152" s="1620"/>
      <c r="E152" s="1620"/>
      <c r="F152" s="1620"/>
      <c r="G152" s="753" t="s">
        <v>62</v>
      </c>
      <c r="H152" s="49"/>
      <c r="I152" s="49"/>
      <c r="J152" s="49"/>
      <c r="K152" s="49"/>
      <c r="L152" s="49"/>
      <c r="M152" s="49"/>
      <c r="N152" s="49"/>
    </row>
    <row r="153" spans="1:14" ht="18" customHeight="1" x14ac:dyDescent="0.25">
      <c r="A153" s="49"/>
      <c r="B153" s="1620" t="s">
        <v>1241</v>
      </c>
      <c r="C153" s="1620"/>
      <c r="D153" s="1620"/>
      <c r="E153" s="1620"/>
      <c r="F153" s="1620"/>
      <c r="G153" s="753" t="s">
        <v>62</v>
      </c>
      <c r="H153" s="49"/>
      <c r="I153" s="49"/>
      <c r="J153" s="49"/>
      <c r="K153" s="49"/>
      <c r="L153" s="49"/>
      <c r="M153" s="49"/>
      <c r="N153" s="49"/>
    </row>
    <row r="154" spans="1:14" ht="18" customHeight="1" x14ac:dyDescent="0.25">
      <c r="A154" s="49"/>
      <c r="B154" s="1620" t="s">
        <v>1242</v>
      </c>
      <c r="C154" s="1620"/>
      <c r="D154" s="1620"/>
      <c r="E154" s="1620"/>
      <c r="F154" s="1620"/>
      <c r="G154" s="760" t="s">
        <v>62</v>
      </c>
      <c r="H154" s="49"/>
      <c r="I154" s="49"/>
      <c r="J154" s="49"/>
      <c r="K154" s="49"/>
      <c r="L154" s="49"/>
      <c r="M154" s="49"/>
      <c r="N154" s="49"/>
    </row>
    <row r="155" spans="1:14" x14ac:dyDescent="0.25">
      <c r="A155" s="49"/>
      <c r="B155" s="49"/>
      <c r="C155" s="49"/>
      <c r="D155" s="49"/>
      <c r="E155" s="49"/>
      <c r="F155" s="49"/>
      <c r="G155" s="49"/>
      <c r="H155" s="49"/>
      <c r="I155" s="49"/>
      <c r="J155" s="49"/>
      <c r="K155" s="49"/>
      <c r="L155" s="49"/>
      <c r="M155" s="49"/>
      <c r="N155" s="49"/>
    </row>
    <row r="156" spans="1:14" x14ac:dyDescent="0.25">
      <c r="A156" s="49"/>
      <c r="B156" s="671" t="s">
        <v>1239</v>
      </c>
      <c r="C156" s="49"/>
      <c r="D156" s="49"/>
      <c r="E156" s="49"/>
      <c r="F156" s="49"/>
      <c r="G156" s="49"/>
      <c r="H156" s="49"/>
      <c r="I156" s="49"/>
      <c r="J156" s="49"/>
      <c r="K156" s="49"/>
      <c r="L156" s="49"/>
      <c r="M156" s="49"/>
      <c r="N156" s="49"/>
    </row>
    <row r="157" spans="1:14" x14ac:dyDescent="0.25">
      <c r="A157" s="49"/>
      <c r="B157" s="49"/>
      <c r="C157" s="49"/>
      <c r="D157" s="49"/>
      <c r="E157" s="49"/>
      <c r="F157" s="49"/>
      <c r="G157" s="49"/>
      <c r="H157" s="49"/>
      <c r="I157" s="49"/>
      <c r="J157" s="49"/>
      <c r="K157" s="49"/>
      <c r="L157" s="49"/>
      <c r="M157" s="49"/>
      <c r="N157" s="49"/>
    </row>
    <row r="158" spans="1:14" ht="27" customHeight="1" x14ac:dyDescent="0.25">
      <c r="A158" s="49"/>
      <c r="B158" s="754" t="s">
        <v>1240</v>
      </c>
      <c r="C158" s="1666" t="s">
        <v>1238</v>
      </c>
      <c r="D158" s="1666"/>
      <c r="E158" s="1666" t="s">
        <v>1973</v>
      </c>
      <c r="F158" s="1681"/>
      <c r="G158" s="49"/>
      <c r="H158" s="49"/>
      <c r="I158" s="49"/>
      <c r="J158" s="49"/>
      <c r="K158" s="49"/>
      <c r="L158" s="49"/>
      <c r="M158" s="49"/>
      <c r="N158" s="49"/>
    </row>
    <row r="159" spans="1:14" x14ac:dyDescent="0.25">
      <c r="A159" s="49"/>
      <c r="B159" s="753"/>
      <c r="C159" s="1618"/>
      <c r="D159" s="1619"/>
      <c r="E159" s="1625"/>
      <c r="F159" s="1662"/>
      <c r="G159" s="667"/>
      <c r="H159" s="49"/>
      <c r="I159" s="49"/>
      <c r="J159" s="49"/>
      <c r="K159" s="49"/>
      <c r="L159" s="49"/>
      <c r="M159" s="49"/>
      <c r="N159" s="49"/>
    </row>
    <row r="160" spans="1:14" x14ac:dyDescent="0.25">
      <c r="A160" s="49"/>
      <c r="B160" s="753"/>
      <c r="C160" s="1618"/>
      <c r="D160" s="1619"/>
      <c r="E160" s="1625"/>
      <c r="F160" s="1662"/>
      <c r="G160" s="49"/>
      <c r="H160" s="49"/>
      <c r="I160" s="49"/>
      <c r="J160" s="49"/>
      <c r="K160" s="49"/>
      <c r="L160" s="49"/>
      <c r="M160" s="49"/>
      <c r="N160" s="49"/>
    </row>
    <row r="161" spans="1:14" x14ac:dyDescent="0.25">
      <c r="A161" s="49"/>
      <c r="B161" s="753"/>
      <c r="C161" s="1618"/>
      <c r="D161" s="1619"/>
      <c r="E161" s="1682"/>
      <c r="F161" s="1683"/>
      <c r="G161" s="667"/>
      <c r="H161" s="49"/>
      <c r="I161" s="49"/>
      <c r="J161" s="49"/>
      <c r="K161" s="49"/>
      <c r="L161" s="49"/>
      <c r="M161" s="49"/>
      <c r="N161" s="49"/>
    </row>
    <row r="162" spans="1:14" x14ac:dyDescent="0.25">
      <c r="A162" s="49"/>
      <c r="B162" s="1080"/>
      <c r="C162" s="1618"/>
      <c r="D162" s="1619"/>
      <c r="E162" s="1684"/>
      <c r="F162" s="1685"/>
      <c r="G162" s="667"/>
      <c r="H162" s="49"/>
      <c r="I162" s="49"/>
      <c r="J162" s="49"/>
      <c r="K162" s="49"/>
      <c r="L162" s="49"/>
      <c r="M162" s="49"/>
      <c r="N162" s="49"/>
    </row>
    <row r="163" spans="1:14" x14ac:dyDescent="0.25">
      <c r="A163" s="49"/>
      <c r="B163" s="1238"/>
      <c r="C163" s="1239"/>
      <c r="D163" s="1240"/>
      <c r="E163" s="1242"/>
      <c r="F163" s="1243"/>
      <c r="G163" s="49"/>
      <c r="H163" s="49"/>
      <c r="I163" s="49"/>
      <c r="J163" s="49"/>
      <c r="K163" s="49"/>
      <c r="L163" s="49"/>
      <c r="M163" s="49"/>
      <c r="N163" s="49"/>
    </row>
    <row r="164" spans="1:14" x14ac:dyDescent="0.25">
      <c r="A164" s="49"/>
      <c r="B164" s="1238"/>
      <c r="C164" s="1239"/>
      <c r="D164" s="1240"/>
      <c r="E164" s="1242"/>
      <c r="F164" s="1243"/>
      <c r="G164" s="49"/>
      <c r="H164" s="49"/>
      <c r="I164" s="49"/>
      <c r="J164" s="49"/>
      <c r="K164" s="49"/>
      <c r="L164" s="49"/>
      <c r="M164" s="49"/>
      <c r="N164" s="49"/>
    </row>
    <row r="165" spans="1:14" x14ac:dyDescent="0.25">
      <c r="A165" s="49"/>
      <c r="B165" s="1238"/>
      <c r="C165" s="1239"/>
      <c r="D165" s="1240"/>
      <c r="E165" s="1242"/>
      <c r="F165" s="1243"/>
      <c r="G165" s="49"/>
      <c r="H165" s="49"/>
      <c r="I165" s="49"/>
      <c r="J165" s="49"/>
      <c r="K165" s="49"/>
      <c r="L165" s="49"/>
      <c r="M165" s="49"/>
      <c r="N165" s="49"/>
    </row>
    <row r="166" spans="1:14" x14ac:dyDescent="0.25">
      <c r="A166" s="49"/>
      <c r="B166" s="1238"/>
      <c r="C166" s="1239"/>
      <c r="D166" s="1240"/>
      <c r="E166" s="1242"/>
      <c r="F166" s="1243"/>
      <c r="G166" s="49"/>
      <c r="H166" s="49"/>
      <c r="I166" s="49"/>
      <c r="J166" s="49"/>
      <c r="K166" s="49"/>
      <c r="L166" s="49"/>
      <c r="M166" s="49"/>
      <c r="N166" s="49"/>
    </row>
    <row r="167" spans="1:14" x14ac:dyDescent="0.25">
      <c r="A167" s="49"/>
      <c r="B167" s="1238"/>
      <c r="C167" s="1239"/>
      <c r="D167" s="1240"/>
      <c r="E167" s="1242"/>
      <c r="F167" s="1243"/>
      <c r="G167" s="49"/>
      <c r="H167" s="49"/>
      <c r="I167" s="49"/>
      <c r="J167" s="49"/>
      <c r="K167" s="49"/>
      <c r="L167" s="49"/>
      <c r="M167" s="49"/>
      <c r="N167" s="49"/>
    </row>
    <row r="168" spans="1:14" x14ac:dyDescent="0.25">
      <c r="A168" s="49"/>
      <c r="B168" s="1080"/>
      <c r="C168" s="1618"/>
      <c r="D168" s="1619"/>
      <c r="E168" s="1625"/>
      <c r="F168" s="1662"/>
      <c r="G168" s="49"/>
      <c r="H168" s="49"/>
      <c r="I168" s="49"/>
      <c r="J168" s="49"/>
      <c r="K168" s="49"/>
      <c r="L168" s="49"/>
      <c r="M168" s="49"/>
      <c r="N168" s="49"/>
    </row>
    <row r="169" spans="1:14" x14ac:dyDescent="0.25">
      <c r="A169" s="49"/>
      <c r="B169" s="1080"/>
      <c r="C169" s="1618"/>
      <c r="D169" s="1619"/>
      <c r="E169" s="1625"/>
      <c r="F169" s="1662"/>
      <c r="G169" s="667"/>
      <c r="H169" s="49"/>
      <c r="I169" s="49"/>
      <c r="J169" s="49"/>
      <c r="K169" s="49"/>
      <c r="L169" s="49"/>
      <c r="M169" s="49"/>
      <c r="N169" s="49"/>
    </row>
    <row r="170" spans="1:14" x14ac:dyDescent="0.25">
      <c r="A170" s="49"/>
      <c r="B170" s="919"/>
      <c r="C170" s="1618"/>
      <c r="D170" s="1619"/>
      <c r="E170" s="1625"/>
      <c r="F170" s="1662"/>
      <c r="G170" s="49"/>
      <c r="H170" s="49"/>
      <c r="I170" s="49"/>
      <c r="J170" s="49"/>
      <c r="K170" s="49"/>
      <c r="L170" s="49"/>
      <c r="M170" s="49"/>
      <c r="N170" s="49"/>
    </row>
    <row r="171" spans="1:14" x14ac:dyDescent="0.25">
      <c r="A171" s="49"/>
      <c r="B171" s="753"/>
      <c r="C171" s="1618"/>
      <c r="D171" s="1619"/>
      <c r="E171" s="1625"/>
      <c r="F171" s="1626"/>
      <c r="G171" s="49"/>
      <c r="H171" s="49"/>
      <c r="I171" s="49"/>
      <c r="J171" s="49"/>
      <c r="K171" s="49"/>
      <c r="L171" s="49"/>
      <c r="M171" s="49"/>
      <c r="N171" s="49"/>
    </row>
    <row r="172" spans="1:14" x14ac:dyDescent="0.25">
      <c r="A172" s="49"/>
      <c r="B172" s="753"/>
      <c r="C172" s="1618"/>
      <c r="D172" s="1619"/>
      <c r="E172" s="1687"/>
      <c r="F172" s="1688"/>
      <c r="G172" s="49"/>
      <c r="H172" s="49"/>
      <c r="I172" s="49"/>
      <c r="J172" s="49"/>
      <c r="K172" s="49"/>
      <c r="L172" s="49"/>
      <c r="M172" s="49"/>
      <c r="N172" s="49"/>
    </row>
    <row r="173" spans="1:14" x14ac:dyDescent="0.25">
      <c r="A173" s="49"/>
      <c r="B173" s="753"/>
      <c r="C173" s="1618"/>
      <c r="D173" s="1619"/>
      <c r="E173" s="1625"/>
      <c r="F173" s="1662"/>
      <c r="G173" s="49"/>
      <c r="H173" s="49"/>
      <c r="I173" s="49"/>
      <c r="J173" s="49"/>
      <c r="K173" s="49"/>
      <c r="L173" s="49"/>
      <c r="M173" s="49"/>
      <c r="N173" s="49"/>
    </row>
    <row r="174" spans="1:14" x14ac:dyDescent="0.25">
      <c r="A174" s="49"/>
      <c r="B174" s="49"/>
      <c r="C174" s="49"/>
      <c r="D174" s="49"/>
      <c r="E174" s="49"/>
      <c r="F174" s="49"/>
      <c r="G174" s="49"/>
      <c r="H174" s="49"/>
      <c r="I174" s="49"/>
      <c r="J174" s="49"/>
      <c r="K174" s="49"/>
      <c r="L174" s="49"/>
      <c r="M174" s="49"/>
      <c r="N174" s="49"/>
    </row>
    <row r="175" spans="1:14" ht="18.75" customHeight="1" x14ac:dyDescent="0.25">
      <c r="A175" s="49"/>
      <c r="B175" s="1621" t="s">
        <v>1236</v>
      </c>
      <c r="C175" s="1621"/>
      <c r="D175" s="125" t="str">
        <f>IF(COUNTIF(G152:G154,"Yes")=3,"Yes","No")</f>
        <v>No</v>
      </c>
      <c r="E175" s="49"/>
      <c r="F175" s="49"/>
      <c r="G175" s="49"/>
      <c r="H175" s="49"/>
      <c r="I175" s="49"/>
      <c r="J175" s="49"/>
      <c r="K175" s="49"/>
      <c r="L175" s="49"/>
      <c r="M175" s="49"/>
      <c r="N175" s="49"/>
    </row>
    <row r="176" spans="1:14" ht="19.5" customHeight="1" x14ac:dyDescent="0.25">
      <c r="A176" s="49"/>
      <c r="B176" s="49"/>
      <c r="C176" s="49"/>
      <c r="D176" s="49"/>
      <c r="E176" s="49"/>
      <c r="F176" s="49"/>
      <c r="G176" s="49"/>
      <c r="H176" s="49"/>
      <c r="I176" s="49"/>
      <c r="J176" s="49"/>
      <c r="K176" s="49"/>
      <c r="L176" s="49"/>
      <c r="M176" s="49"/>
      <c r="N176" s="49"/>
    </row>
    <row r="177" spans="1:21" ht="16.5" customHeight="1" x14ac:dyDescent="0.25">
      <c r="A177" s="1677" t="s">
        <v>97</v>
      </c>
      <c r="B177" s="1677"/>
      <c r="C177" s="1677"/>
      <c r="D177" s="49"/>
      <c r="E177" s="49"/>
      <c r="F177" s="49"/>
      <c r="G177" s="49"/>
      <c r="H177" s="49"/>
      <c r="I177" s="49"/>
      <c r="J177" s="49"/>
      <c r="K177" s="49"/>
      <c r="L177" s="49"/>
      <c r="M177" s="49"/>
      <c r="N177" s="49"/>
      <c r="Q177" s="37"/>
      <c r="R177" s="37"/>
      <c r="S177" s="37"/>
      <c r="T177" s="37"/>
      <c r="U177" s="37"/>
    </row>
    <row r="178" spans="1:21" x14ac:dyDescent="0.25">
      <c r="A178" s="49"/>
      <c r="B178" s="49"/>
      <c r="C178" s="49"/>
      <c r="D178" s="49"/>
      <c r="E178" s="49"/>
      <c r="F178" s="49"/>
      <c r="G178" s="49"/>
      <c r="H178" s="49"/>
      <c r="I178" s="49"/>
      <c r="J178" s="49"/>
      <c r="K178" s="49"/>
      <c r="L178" s="49"/>
      <c r="M178" s="49"/>
      <c r="N178" s="49"/>
      <c r="Q178" s="37"/>
      <c r="R178" s="37"/>
      <c r="S178" s="37"/>
      <c r="T178" s="37"/>
      <c r="U178" s="37"/>
    </row>
    <row r="179" spans="1:21" ht="21" customHeight="1" x14ac:dyDescent="0.25">
      <c r="A179" s="49"/>
      <c r="B179" s="1627" t="s">
        <v>98</v>
      </c>
      <c r="C179" s="1628"/>
      <c r="D179" s="1628"/>
      <c r="E179" s="1628"/>
      <c r="F179" s="1628"/>
      <c r="G179" s="781" t="s">
        <v>1297</v>
      </c>
      <c r="H179" s="1629" t="s">
        <v>1298</v>
      </c>
      <c r="I179" s="1630"/>
      <c r="J179" s="49"/>
      <c r="K179" s="49"/>
      <c r="L179" s="49"/>
      <c r="M179" s="49"/>
      <c r="N179" s="49"/>
      <c r="Q179" s="37"/>
      <c r="R179" s="37"/>
      <c r="S179" s="37"/>
      <c r="U179" s="37"/>
    </row>
    <row r="180" spans="1:21" ht="27" customHeight="1" x14ac:dyDescent="0.25">
      <c r="A180" s="49"/>
      <c r="B180" s="1644" t="str">
        <f>Submittals!H7</f>
        <v>Select the Submission Stage in Project Information</v>
      </c>
      <c r="C180" s="1645" t="s">
        <v>294</v>
      </c>
      <c r="D180" s="1645"/>
      <c r="E180" s="1645"/>
      <c r="F180" s="1646"/>
      <c r="G180" s="780" t="s">
        <v>62</v>
      </c>
      <c r="H180" s="1625"/>
      <c r="I180" s="1626"/>
      <c r="J180" s="49"/>
      <c r="K180" s="49"/>
      <c r="L180" s="49"/>
      <c r="M180" s="49"/>
      <c r="N180" s="49"/>
      <c r="O180" s="37" t="str">
        <f>IF(OR(B180="/",B180="No evidence required at this submission stage"),"Yes",IF(G180="Submitted","Yes","No"))</f>
        <v>No</v>
      </c>
      <c r="Q180" s="37"/>
      <c r="R180" s="37"/>
      <c r="S180" s="37"/>
      <c r="U180" s="37"/>
    </row>
    <row r="181" spans="1:21" ht="27" hidden="1" customHeight="1" x14ac:dyDescent="0.25">
      <c r="A181" s="49"/>
      <c r="B181" s="1644" t="str">
        <f>Submittals!H8</f>
        <v>Select the Submission Stage in Project Information</v>
      </c>
      <c r="C181" s="1645" t="s">
        <v>294</v>
      </c>
      <c r="D181" s="1645"/>
      <c r="E181" s="1645"/>
      <c r="F181" s="1646"/>
      <c r="G181" s="780" t="s">
        <v>62</v>
      </c>
      <c r="H181" s="1625"/>
      <c r="I181" s="1626"/>
      <c r="J181" s="49"/>
      <c r="K181" s="49"/>
      <c r="L181" s="49"/>
      <c r="M181" s="49"/>
      <c r="N181" s="49"/>
      <c r="O181" s="37" t="str">
        <f t="shared" ref="O181" si="27">IF(OR(B181="/",B181="No evidence required at this submission stage"),"Yes",IF(G181="Submitted","Yes","No"))</f>
        <v>No</v>
      </c>
      <c r="U181" s="37"/>
    </row>
    <row r="182" spans="1:21" ht="19.5" customHeight="1" x14ac:dyDescent="0.25">
      <c r="A182" s="49"/>
      <c r="B182" s="49"/>
      <c r="C182" s="49"/>
      <c r="D182" s="49"/>
      <c r="E182" s="49"/>
      <c r="F182" s="49"/>
      <c r="G182" s="49"/>
      <c r="H182" s="49"/>
      <c r="I182" s="49"/>
      <c r="J182" s="49"/>
      <c r="K182" s="49"/>
      <c r="L182" s="49"/>
      <c r="M182" s="49"/>
      <c r="N182" s="49"/>
      <c r="U182" s="37"/>
    </row>
    <row r="183" spans="1:21" ht="16.5" customHeight="1" x14ac:dyDescent="0.25">
      <c r="A183" s="1677" t="s">
        <v>8</v>
      </c>
      <c r="B183" s="1677"/>
      <c r="C183" s="1677"/>
      <c r="D183" s="49"/>
      <c r="E183" s="49"/>
      <c r="F183" s="49"/>
      <c r="G183" s="49"/>
      <c r="H183" s="49"/>
      <c r="I183" s="49"/>
      <c r="J183" s="49"/>
      <c r="K183" s="49"/>
      <c r="L183" s="49"/>
      <c r="M183" s="49"/>
      <c r="N183" s="49"/>
      <c r="Q183" s="37"/>
      <c r="R183" s="37"/>
      <c r="S183" s="37"/>
      <c r="U183" s="37"/>
    </row>
    <row r="184" spans="1:21" ht="15.75" customHeight="1" x14ac:dyDescent="0.25">
      <c r="A184" s="49"/>
      <c r="B184" s="49"/>
      <c r="C184" s="49"/>
      <c r="D184" s="49"/>
      <c r="E184" s="49"/>
      <c r="F184" s="49"/>
      <c r="G184" s="49"/>
      <c r="H184" s="49"/>
      <c r="I184" s="49"/>
      <c r="J184" s="49"/>
      <c r="K184" s="49"/>
      <c r="L184" s="49"/>
      <c r="M184" s="49"/>
      <c r="N184" s="49"/>
      <c r="U184" s="37"/>
    </row>
    <row r="185" spans="1:21" ht="18" customHeight="1" x14ac:dyDescent="0.25">
      <c r="A185" s="49"/>
      <c r="B185" s="110" t="s">
        <v>19</v>
      </c>
      <c r="C185" s="8">
        <f>IF(D175="Yes",1,0)</f>
        <v>0</v>
      </c>
      <c r="D185" s="49"/>
      <c r="E185" s="49"/>
      <c r="F185" s="49"/>
      <c r="G185" s="49"/>
      <c r="H185" s="49"/>
      <c r="I185" s="49"/>
      <c r="J185" s="49"/>
      <c r="K185" s="49"/>
      <c r="L185" s="49"/>
      <c r="M185" s="49"/>
      <c r="N185" s="49"/>
    </row>
    <row r="186" spans="1:21" ht="18" customHeight="1" x14ac:dyDescent="0.25">
      <c r="A186" s="49"/>
      <c r="B186" s="110" t="s">
        <v>151</v>
      </c>
      <c r="C186" s="7" t="str">
        <f>IF(AND(COUNTIF(O180:O181,"Yes")=2,C185&gt;0),"Yes","No")</f>
        <v>No</v>
      </c>
      <c r="D186" s="49"/>
      <c r="E186" s="49"/>
      <c r="F186" s="49"/>
      <c r="G186" s="49"/>
      <c r="H186" s="49"/>
      <c r="I186" s="49"/>
      <c r="J186" s="49"/>
      <c r="K186" s="49"/>
      <c r="L186" s="49"/>
      <c r="M186" s="49"/>
      <c r="N186" s="49"/>
    </row>
    <row r="187" spans="1:21" ht="19.5" customHeight="1" x14ac:dyDescent="0.25">
      <c r="A187" s="49"/>
      <c r="B187" s="49"/>
      <c r="C187" s="49"/>
      <c r="D187" s="49"/>
      <c r="E187" s="49"/>
      <c r="F187" s="49"/>
      <c r="G187" s="49"/>
      <c r="H187" s="49"/>
      <c r="I187" s="49"/>
      <c r="J187" s="49"/>
      <c r="K187" s="49"/>
      <c r="L187" s="49"/>
      <c r="M187" s="49"/>
      <c r="N187" s="49"/>
    </row>
    <row r="188" spans="1:21" ht="18" customHeight="1" x14ac:dyDescent="0.25">
      <c r="A188" s="1676" t="s">
        <v>1323</v>
      </c>
      <c r="B188" s="1676"/>
      <c r="C188" s="1676"/>
      <c r="D188" s="1676"/>
      <c r="E188" s="1676"/>
      <c r="F188" s="1676"/>
      <c r="G188" s="1676"/>
      <c r="H188" s="1676"/>
      <c r="I188" s="1676"/>
      <c r="J188" s="1676"/>
      <c r="K188" s="1676"/>
      <c r="L188" s="1676"/>
      <c r="M188" s="1676"/>
      <c r="N188" s="1676"/>
    </row>
    <row r="189" spans="1:21" ht="13.5" customHeight="1" x14ac:dyDescent="0.25">
      <c r="A189" s="48"/>
      <c r="B189" s="48"/>
      <c r="C189" s="48"/>
      <c r="D189" s="48"/>
      <c r="E189" s="48"/>
      <c r="F189" s="48"/>
      <c r="G189" s="48"/>
      <c r="H189" s="48"/>
      <c r="I189" s="48"/>
      <c r="J189" s="48"/>
      <c r="K189" s="48"/>
      <c r="L189" s="48"/>
      <c r="M189" s="48"/>
      <c r="N189" s="48"/>
    </row>
    <row r="190" spans="1:21" ht="16.5" customHeight="1" x14ac:dyDescent="0.25">
      <c r="A190" s="1677" t="s">
        <v>117</v>
      </c>
      <c r="B190" s="1677"/>
      <c r="C190" s="1677"/>
      <c r="D190" s="49"/>
      <c r="E190" s="49"/>
      <c r="F190" s="49"/>
      <c r="G190" s="49"/>
      <c r="H190" s="49"/>
      <c r="I190" s="49"/>
      <c r="J190" s="49"/>
      <c r="K190" s="49"/>
      <c r="L190" s="49"/>
      <c r="M190" s="49"/>
      <c r="N190" s="49"/>
    </row>
    <row r="191" spans="1:21" ht="11.25" customHeight="1" x14ac:dyDescent="0.25">
      <c r="A191" s="49"/>
      <c r="B191" s="49"/>
      <c r="C191" s="49"/>
      <c r="D191" s="49"/>
      <c r="E191" s="49"/>
      <c r="F191" s="49"/>
      <c r="G191" s="49"/>
      <c r="H191" s="49"/>
      <c r="I191" s="49"/>
      <c r="J191" s="49"/>
      <c r="K191" s="49"/>
      <c r="L191" s="49"/>
      <c r="M191" s="49"/>
      <c r="N191" s="49"/>
    </row>
    <row r="192" spans="1:21" x14ac:dyDescent="0.25">
      <c r="A192" s="49"/>
      <c r="B192" s="121" t="s">
        <v>917</v>
      </c>
      <c r="C192" s="49"/>
      <c r="D192" s="49"/>
      <c r="E192" s="49"/>
      <c r="F192" s="49"/>
      <c r="G192" s="49"/>
      <c r="H192" s="49"/>
      <c r="I192" s="49"/>
      <c r="J192" s="49"/>
      <c r="K192" s="49"/>
      <c r="L192" s="49"/>
      <c r="M192" s="49"/>
      <c r="N192" s="49"/>
      <c r="Q192" s="37"/>
      <c r="R192" s="37"/>
      <c r="S192" s="37"/>
      <c r="T192" s="37"/>
      <c r="U192" s="37"/>
    </row>
    <row r="193" spans="1:21" ht="10.5" customHeight="1" x14ac:dyDescent="0.25">
      <c r="A193" s="49"/>
      <c r="B193" s="121"/>
      <c r="C193" s="49"/>
      <c r="D193" s="49"/>
      <c r="E193" s="49"/>
      <c r="F193" s="49"/>
      <c r="G193" s="49"/>
      <c r="H193" s="49"/>
      <c r="I193" s="49"/>
      <c r="J193" s="49"/>
      <c r="K193" s="49"/>
      <c r="L193" s="49"/>
      <c r="M193" s="49"/>
      <c r="N193" s="49"/>
      <c r="Q193" s="37"/>
      <c r="R193" s="37"/>
      <c r="S193" s="37"/>
      <c r="T193" s="37"/>
      <c r="U193" s="37"/>
    </row>
    <row r="194" spans="1:21" x14ac:dyDescent="0.25">
      <c r="A194" s="49"/>
      <c r="B194" s="930" t="s">
        <v>1036</v>
      </c>
      <c r="C194" s="49"/>
      <c r="D194" s="49"/>
      <c r="E194" s="49"/>
      <c r="F194" s="49"/>
      <c r="G194" s="49"/>
      <c r="H194" s="49"/>
      <c r="I194" s="49"/>
      <c r="J194" s="49"/>
      <c r="K194" s="49"/>
      <c r="L194" s="49"/>
      <c r="M194" s="49"/>
      <c r="N194" s="49"/>
      <c r="Q194" s="37"/>
      <c r="R194" s="37"/>
      <c r="S194" s="37"/>
      <c r="T194" s="37"/>
      <c r="U194" s="37"/>
    </row>
    <row r="195" spans="1:21" ht="16.5" customHeight="1" x14ac:dyDescent="0.25">
      <c r="A195" s="49"/>
      <c r="B195" s="324"/>
      <c r="C195" s="49"/>
      <c r="D195" s="49"/>
      <c r="E195" s="49"/>
      <c r="F195" s="49"/>
      <c r="G195" s="49"/>
      <c r="H195" s="49"/>
      <c r="I195" s="49"/>
      <c r="J195" s="49"/>
      <c r="K195" s="49"/>
      <c r="L195" s="49"/>
      <c r="M195" s="49"/>
      <c r="N195" s="49"/>
      <c r="Q195" s="37"/>
      <c r="R195" s="37"/>
      <c r="S195" s="37"/>
      <c r="T195" s="37"/>
      <c r="U195" s="37"/>
    </row>
    <row r="196" spans="1:21" x14ac:dyDescent="0.25">
      <c r="A196" s="49"/>
      <c r="B196" s="671" t="s">
        <v>1629</v>
      </c>
      <c r="C196" s="49"/>
      <c r="D196" s="49"/>
      <c r="E196" s="49"/>
      <c r="F196" s="49"/>
      <c r="G196" s="49"/>
      <c r="H196" s="49"/>
      <c r="I196" s="49"/>
      <c r="J196" s="49"/>
      <c r="K196" s="49"/>
      <c r="L196" s="49"/>
      <c r="M196" s="49"/>
      <c r="N196" s="49"/>
      <c r="Q196" s="37"/>
      <c r="R196" s="37"/>
      <c r="S196" s="37"/>
      <c r="T196" s="37"/>
      <c r="U196" s="37"/>
    </row>
    <row r="197" spans="1:21" ht="12" customHeight="1" x14ac:dyDescent="0.25">
      <c r="A197" s="49"/>
      <c r="B197" s="324"/>
      <c r="C197" s="49"/>
      <c r="D197" s="49"/>
      <c r="E197" s="49"/>
      <c r="F197" s="49"/>
      <c r="G197" s="49"/>
      <c r="H197" s="49"/>
      <c r="I197" s="49"/>
      <c r="J197" s="49"/>
      <c r="K197" s="49"/>
      <c r="L197" s="49"/>
      <c r="M197" s="49"/>
      <c r="N197" s="49"/>
      <c r="Q197" s="37"/>
      <c r="R197" s="37"/>
      <c r="S197" s="37"/>
      <c r="T197" s="37"/>
      <c r="U197" s="37"/>
    </row>
    <row r="198" spans="1:21" ht="18" customHeight="1" x14ac:dyDescent="0.25">
      <c r="A198" s="49"/>
      <c r="B198" s="1693" t="s">
        <v>914</v>
      </c>
      <c r="C198" s="1666"/>
      <c r="D198" s="1666" t="s">
        <v>913</v>
      </c>
      <c r="E198" s="1666"/>
      <c r="F198" s="1666" t="s">
        <v>15</v>
      </c>
      <c r="G198" s="1666"/>
      <c r="H198" s="49"/>
      <c r="I198" s="49"/>
      <c r="J198" s="49"/>
      <c r="K198" s="49"/>
      <c r="L198" s="49"/>
      <c r="M198" s="49"/>
      <c r="N198" s="49"/>
      <c r="Q198" s="37"/>
      <c r="R198" s="37"/>
      <c r="S198" s="37"/>
      <c r="T198" s="37"/>
      <c r="U198" s="37"/>
    </row>
    <row r="199" spans="1:21" x14ac:dyDescent="0.25">
      <c r="A199" s="49"/>
      <c r="B199" s="1625"/>
      <c r="C199" s="1626"/>
      <c r="D199" s="1625" t="s">
        <v>62</v>
      </c>
      <c r="E199" s="1626"/>
      <c r="F199" s="1625"/>
      <c r="G199" s="1626"/>
      <c r="H199" s="49"/>
      <c r="I199" s="49"/>
      <c r="J199" s="49"/>
      <c r="K199" s="49"/>
      <c r="L199" s="49"/>
      <c r="M199" s="49"/>
      <c r="N199" s="49"/>
      <c r="O199" t="str">
        <f>IF(B199&lt;&gt;"",IF(AND(D199&lt;&gt;"",D199&lt;&gt;"Select",D199&lt;&gt;"None"),"Yes","No"),"")</f>
        <v/>
      </c>
      <c r="Q199" s="37"/>
      <c r="R199" s="37"/>
      <c r="S199" s="37"/>
      <c r="T199" s="37"/>
      <c r="U199" s="37"/>
    </row>
    <row r="200" spans="1:21" x14ac:dyDescent="0.25">
      <c r="A200" s="49"/>
      <c r="B200" s="1625"/>
      <c r="C200" s="1626"/>
      <c r="D200" s="1625" t="s">
        <v>62</v>
      </c>
      <c r="E200" s="1626"/>
      <c r="F200" s="1625"/>
      <c r="G200" s="1626"/>
      <c r="H200" s="49"/>
      <c r="I200" s="49"/>
      <c r="J200" s="49"/>
      <c r="K200" s="49"/>
      <c r="L200" s="49"/>
      <c r="M200" s="49"/>
      <c r="N200" s="49"/>
      <c r="O200" t="str">
        <f>IF(B200&lt;&gt;"",IF(AND(D200&lt;&gt;"",D200&lt;&gt;"Select",D200&lt;&gt;"None"),"Yes","No"),"")</f>
        <v/>
      </c>
      <c r="Q200" s="37"/>
      <c r="R200" s="37"/>
      <c r="S200" s="37"/>
      <c r="T200" s="37"/>
      <c r="U200" s="37"/>
    </row>
    <row r="201" spans="1:21" x14ac:dyDescent="0.25">
      <c r="A201" s="49"/>
      <c r="B201" s="1625"/>
      <c r="C201" s="1626"/>
      <c r="D201" s="1625" t="s">
        <v>62</v>
      </c>
      <c r="E201" s="1626"/>
      <c r="F201" s="1625"/>
      <c r="G201" s="1626"/>
      <c r="H201" s="49"/>
      <c r="I201" s="49"/>
      <c r="J201" s="49"/>
      <c r="K201" s="49"/>
      <c r="L201" s="49"/>
      <c r="M201" s="49"/>
      <c r="N201" s="49"/>
      <c r="O201" t="str">
        <f t="shared" ref="O201:O208" si="28">IF(B201&lt;&gt;"",IF(AND(D201&lt;&gt;"",D201&lt;&gt;"Select",D201&lt;&gt;"None"),"Yes","No"),"")</f>
        <v/>
      </c>
      <c r="Q201" s="37"/>
      <c r="R201" s="37"/>
      <c r="S201" s="37"/>
      <c r="T201" s="37"/>
      <c r="U201" s="37"/>
    </row>
    <row r="202" spans="1:21" x14ac:dyDescent="0.25">
      <c r="A202" s="49"/>
      <c r="B202" s="1625"/>
      <c r="C202" s="1626"/>
      <c r="D202" s="1625" t="s">
        <v>62</v>
      </c>
      <c r="E202" s="1626"/>
      <c r="F202" s="1625"/>
      <c r="G202" s="1626"/>
      <c r="H202" s="49"/>
      <c r="I202" s="49"/>
      <c r="J202" s="49"/>
      <c r="K202" s="49"/>
      <c r="L202" s="49"/>
      <c r="M202" s="49"/>
      <c r="N202" s="49"/>
      <c r="O202" t="str">
        <f t="shared" si="28"/>
        <v/>
      </c>
      <c r="Q202" s="37"/>
      <c r="R202" s="37"/>
      <c r="S202" s="37"/>
      <c r="T202" s="37"/>
      <c r="U202" s="37"/>
    </row>
    <row r="203" spans="1:21" x14ac:dyDescent="0.25">
      <c r="A203" s="49"/>
      <c r="B203" s="1625"/>
      <c r="C203" s="1626"/>
      <c r="D203" s="1625" t="s">
        <v>62</v>
      </c>
      <c r="E203" s="1626"/>
      <c r="F203" s="1625"/>
      <c r="G203" s="1626"/>
      <c r="H203" s="49"/>
      <c r="I203" s="49"/>
      <c r="J203" s="49"/>
      <c r="K203" s="49"/>
      <c r="L203" s="49"/>
      <c r="M203" s="49"/>
      <c r="N203" s="49"/>
      <c r="O203" t="str">
        <f t="shared" si="28"/>
        <v/>
      </c>
      <c r="Q203" s="37"/>
      <c r="R203" s="37"/>
      <c r="S203" s="37"/>
      <c r="T203" s="37"/>
      <c r="U203" s="37"/>
    </row>
    <row r="204" spans="1:21" x14ac:dyDescent="0.25">
      <c r="A204" s="49"/>
      <c r="B204" s="1625"/>
      <c r="C204" s="1626"/>
      <c r="D204" s="1625" t="s">
        <v>62</v>
      </c>
      <c r="E204" s="1626"/>
      <c r="F204" s="1625"/>
      <c r="G204" s="1626"/>
      <c r="H204" s="49"/>
      <c r="I204" s="49"/>
      <c r="J204" s="49"/>
      <c r="K204" s="49"/>
      <c r="L204" s="49"/>
      <c r="M204" s="49"/>
      <c r="N204" s="49"/>
      <c r="O204" t="str">
        <f t="shared" si="28"/>
        <v/>
      </c>
      <c r="Q204" s="37"/>
      <c r="R204" s="37"/>
      <c r="S204" s="37"/>
      <c r="T204" s="37"/>
      <c r="U204" s="37"/>
    </row>
    <row r="205" spans="1:21" x14ac:dyDescent="0.25">
      <c r="A205" s="49"/>
      <c r="B205" s="1625"/>
      <c r="C205" s="1626"/>
      <c r="D205" s="1625" t="s">
        <v>62</v>
      </c>
      <c r="E205" s="1626"/>
      <c r="F205" s="1625"/>
      <c r="G205" s="1626"/>
      <c r="H205" s="49"/>
      <c r="I205" s="49"/>
      <c r="J205" s="49"/>
      <c r="K205" s="49"/>
      <c r="L205" s="49"/>
      <c r="M205" s="49"/>
      <c r="N205" s="49"/>
      <c r="O205" t="str">
        <f t="shared" si="28"/>
        <v/>
      </c>
      <c r="Q205" s="37"/>
      <c r="R205" s="37"/>
      <c r="S205" s="37"/>
      <c r="T205" s="37"/>
      <c r="U205" s="37"/>
    </row>
    <row r="206" spans="1:21" x14ac:dyDescent="0.25">
      <c r="A206" s="49"/>
      <c r="B206" s="1625"/>
      <c r="C206" s="1626"/>
      <c r="D206" s="1625" t="s">
        <v>62</v>
      </c>
      <c r="E206" s="1626"/>
      <c r="F206" s="1625"/>
      <c r="G206" s="1626"/>
      <c r="H206" s="49"/>
      <c r="I206" s="49"/>
      <c r="J206" s="49"/>
      <c r="K206" s="49"/>
      <c r="L206" s="49"/>
      <c r="M206" s="49"/>
      <c r="N206" s="49"/>
      <c r="O206" t="str">
        <f t="shared" si="28"/>
        <v/>
      </c>
      <c r="Q206" s="37"/>
      <c r="R206" s="37"/>
      <c r="S206" s="37"/>
      <c r="T206" s="37"/>
      <c r="U206" s="37"/>
    </row>
    <row r="207" spans="1:21" x14ac:dyDescent="0.25">
      <c r="A207" s="49"/>
      <c r="B207" s="1625"/>
      <c r="C207" s="1626"/>
      <c r="D207" s="1625" t="s">
        <v>62</v>
      </c>
      <c r="E207" s="1626"/>
      <c r="F207" s="1625"/>
      <c r="G207" s="1626"/>
      <c r="H207" s="49"/>
      <c r="I207" s="49"/>
      <c r="J207" s="49"/>
      <c r="K207" s="49"/>
      <c r="L207" s="49"/>
      <c r="M207" s="49"/>
      <c r="N207" s="49"/>
      <c r="O207" t="str">
        <f t="shared" si="28"/>
        <v/>
      </c>
      <c r="Q207" s="37"/>
      <c r="R207" s="37"/>
      <c r="S207" s="37"/>
      <c r="T207" s="37"/>
      <c r="U207" s="37"/>
    </row>
    <row r="208" spans="1:21" x14ac:dyDescent="0.25">
      <c r="A208" s="49"/>
      <c r="B208" s="1625"/>
      <c r="C208" s="1626"/>
      <c r="D208" s="1625" t="s">
        <v>62</v>
      </c>
      <c r="E208" s="1626"/>
      <c r="F208" s="1625"/>
      <c r="G208" s="1626"/>
      <c r="H208" s="49"/>
      <c r="I208" s="49"/>
      <c r="J208" s="49"/>
      <c r="K208" s="49"/>
      <c r="L208" s="49"/>
      <c r="M208" s="49"/>
      <c r="N208" s="49"/>
      <c r="O208" t="str">
        <f t="shared" si="28"/>
        <v/>
      </c>
      <c r="Q208" s="37"/>
      <c r="R208" s="37"/>
      <c r="S208" s="37"/>
      <c r="T208" s="37"/>
      <c r="U208" s="37"/>
    </row>
    <row r="209" spans="1:21" x14ac:dyDescent="0.25">
      <c r="A209" s="49"/>
      <c r="B209" s="49"/>
      <c r="C209" s="49"/>
      <c r="D209" s="49"/>
      <c r="E209" s="49"/>
      <c r="F209" s="49"/>
      <c r="G209" s="49"/>
      <c r="H209" s="49"/>
      <c r="I209" s="49"/>
      <c r="J209" s="49"/>
      <c r="K209" s="49"/>
      <c r="L209" s="49"/>
      <c r="M209" s="49"/>
      <c r="N209" s="49"/>
      <c r="Q209" s="37"/>
      <c r="R209" s="37"/>
      <c r="S209" s="37"/>
      <c r="T209" s="37"/>
      <c r="U209" s="37"/>
    </row>
    <row r="210" spans="1:21" ht="18" customHeight="1" x14ac:dyDescent="0.25">
      <c r="A210" s="49"/>
      <c r="B210" s="1621" t="s">
        <v>915</v>
      </c>
      <c r="C210" s="1621"/>
      <c r="D210" s="1621"/>
      <c r="E210" s="137" t="str">
        <f>IF(AND(COUNTIF(O199:O208,"No")=0,COUNTIF(O199:O208,"Yes")&gt;0),"Yes","No")</f>
        <v>No</v>
      </c>
      <c r="F210" s="49"/>
      <c r="G210" s="49"/>
      <c r="H210" s="49"/>
      <c r="I210" s="49"/>
      <c r="J210" s="49"/>
      <c r="K210" s="49"/>
      <c r="L210" s="49"/>
      <c r="M210" s="49"/>
      <c r="N210" s="49"/>
      <c r="Q210" s="37"/>
      <c r="R210" s="37"/>
      <c r="S210" s="37"/>
      <c r="T210" s="37"/>
      <c r="U210" s="37"/>
    </row>
    <row r="211" spans="1:21" ht="18" customHeight="1" x14ac:dyDescent="0.25">
      <c r="A211" s="317"/>
      <c r="B211" s="953"/>
      <c r="C211" s="317"/>
      <c r="D211" s="317"/>
      <c r="E211" s="317"/>
      <c r="F211" s="317"/>
      <c r="G211" s="317"/>
      <c r="H211" s="317"/>
      <c r="I211" s="317"/>
      <c r="J211" s="317"/>
      <c r="K211" s="317"/>
      <c r="L211" s="317"/>
      <c r="M211" s="317"/>
      <c r="N211" s="317"/>
      <c r="Q211" s="37"/>
      <c r="R211" s="37"/>
      <c r="S211" s="37"/>
      <c r="T211" s="37"/>
      <c r="U211" s="37"/>
    </row>
    <row r="212" spans="1:21" ht="20.25" customHeight="1" x14ac:dyDescent="0.25">
      <c r="A212" s="49"/>
      <c r="B212" s="121" t="s">
        <v>916</v>
      </c>
      <c r="C212" s="49"/>
      <c r="D212" s="49"/>
      <c r="E212" s="49"/>
      <c r="F212" s="49"/>
      <c r="G212" s="49"/>
      <c r="H212" s="49"/>
      <c r="I212" s="49"/>
      <c r="J212" s="49"/>
      <c r="K212" s="49"/>
      <c r="L212" s="49"/>
      <c r="M212" s="49"/>
      <c r="N212" s="49"/>
      <c r="Q212" s="37"/>
      <c r="R212" s="37"/>
      <c r="S212" s="37"/>
      <c r="T212" s="37"/>
      <c r="U212" s="37"/>
    </row>
    <row r="213" spans="1:21" ht="13.5" customHeight="1" x14ac:dyDescent="0.25">
      <c r="A213" s="49"/>
      <c r="B213" s="456"/>
      <c r="C213" s="49"/>
      <c r="D213" s="49"/>
      <c r="E213" s="49"/>
      <c r="F213" s="49"/>
      <c r="G213" s="49"/>
      <c r="H213" s="49"/>
      <c r="I213" s="49"/>
      <c r="J213" s="49"/>
      <c r="K213" s="49"/>
      <c r="L213" s="49"/>
      <c r="M213" s="49"/>
      <c r="N213" s="49"/>
      <c r="Q213" s="37"/>
      <c r="R213" s="37"/>
      <c r="S213" s="37"/>
      <c r="T213" s="37"/>
      <c r="U213" s="37"/>
    </row>
    <row r="214" spans="1:21" x14ac:dyDescent="0.25">
      <c r="A214" s="49"/>
      <c r="B214" s="1667" t="s">
        <v>1984</v>
      </c>
      <c r="C214" s="1668"/>
      <c r="D214" s="1668"/>
      <c r="E214" s="1668"/>
      <c r="F214" s="1668"/>
      <c r="G214" s="1668"/>
      <c r="H214" s="1668"/>
      <c r="I214" s="1668"/>
      <c r="J214" s="1668"/>
      <c r="K214" s="1669"/>
      <c r="L214" s="49"/>
      <c r="M214" s="49"/>
      <c r="N214" s="49"/>
      <c r="Q214" s="37"/>
      <c r="R214" s="37"/>
      <c r="S214" s="37"/>
      <c r="T214" s="37"/>
      <c r="U214" s="37"/>
    </row>
    <row r="215" spans="1:21" x14ac:dyDescent="0.25">
      <c r="A215" s="49"/>
      <c r="B215" s="1673" t="s">
        <v>1627</v>
      </c>
      <c r="C215" s="1674"/>
      <c r="D215" s="1674"/>
      <c r="E215" s="1674"/>
      <c r="F215" s="1674"/>
      <c r="G215" s="1674"/>
      <c r="H215" s="1674"/>
      <c r="I215" s="1674"/>
      <c r="J215" s="1674"/>
      <c r="K215" s="1675"/>
      <c r="L215" s="49"/>
      <c r="M215" s="49"/>
      <c r="N215" s="49"/>
      <c r="O215" t="s">
        <v>62</v>
      </c>
      <c r="Q215" s="37"/>
      <c r="R215" s="37"/>
      <c r="S215" s="37"/>
      <c r="T215" s="37"/>
      <c r="U215" s="37"/>
    </row>
    <row r="216" spans="1:21" ht="15.75" x14ac:dyDescent="0.25">
      <c r="A216" s="49"/>
      <c r="B216" s="1670" t="s">
        <v>1975</v>
      </c>
      <c r="C216" s="1671"/>
      <c r="D216" s="1671"/>
      <c r="E216" s="1671"/>
      <c r="F216" s="1671"/>
      <c r="G216" s="1671"/>
      <c r="H216" s="1671"/>
      <c r="I216" s="1671"/>
      <c r="J216" s="1671"/>
      <c r="K216" s="1672"/>
      <c r="L216" s="49"/>
      <c r="M216" s="49"/>
      <c r="N216" s="49"/>
      <c r="O216" t="s">
        <v>1623</v>
      </c>
      <c r="Q216" s="37"/>
      <c r="R216" s="37"/>
      <c r="S216" s="37"/>
      <c r="T216" s="37"/>
      <c r="U216" s="37"/>
    </row>
    <row r="217" spans="1:21" x14ac:dyDescent="0.25">
      <c r="A217" s="49"/>
      <c r="B217" s="1670" t="s">
        <v>1672</v>
      </c>
      <c r="C217" s="1671"/>
      <c r="D217" s="1671"/>
      <c r="E217" s="1671"/>
      <c r="F217" s="1671"/>
      <c r="G217" s="1671"/>
      <c r="H217" s="1671"/>
      <c r="I217" s="1671"/>
      <c r="J217" s="1671"/>
      <c r="K217" s="1672"/>
      <c r="L217" s="49"/>
      <c r="M217" s="49"/>
      <c r="N217" s="49"/>
      <c r="O217" t="s">
        <v>1624</v>
      </c>
      <c r="Q217" s="37"/>
      <c r="R217" s="37"/>
      <c r="S217" s="37"/>
      <c r="T217" s="37"/>
      <c r="U217" s="37"/>
    </row>
    <row r="218" spans="1:21" ht="27" customHeight="1" x14ac:dyDescent="0.25">
      <c r="A218" s="49"/>
      <c r="B218" s="1631" t="s">
        <v>1673</v>
      </c>
      <c r="C218" s="1671"/>
      <c r="D218" s="1671"/>
      <c r="E218" s="1671"/>
      <c r="F218" s="1671"/>
      <c r="G218" s="1671"/>
      <c r="H218" s="1671"/>
      <c r="I218" s="1671"/>
      <c r="J218" s="1671"/>
      <c r="K218" s="1672"/>
      <c r="L218" s="49"/>
      <c r="M218" s="49"/>
      <c r="N218" s="49"/>
      <c r="O218" t="s">
        <v>1625</v>
      </c>
      <c r="Q218" s="37"/>
      <c r="R218" s="37"/>
      <c r="S218" s="37"/>
      <c r="T218" s="37"/>
      <c r="U218" s="37"/>
    </row>
    <row r="219" spans="1:21" x14ac:dyDescent="0.25">
      <c r="A219" s="49"/>
      <c r="B219" s="1634" t="s">
        <v>1671</v>
      </c>
      <c r="C219" s="1635"/>
      <c r="D219" s="1635"/>
      <c r="E219" s="1635"/>
      <c r="F219" s="1635"/>
      <c r="G219" s="1635"/>
      <c r="H219" s="1635"/>
      <c r="I219" s="1635"/>
      <c r="J219" s="1635"/>
      <c r="K219" s="1636"/>
      <c r="L219" s="49"/>
      <c r="M219" s="49"/>
      <c r="N219" s="49"/>
      <c r="O219" t="s">
        <v>1626</v>
      </c>
      <c r="Q219" s="37"/>
      <c r="R219" s="37"/>
      <c r="S219" s="37"/>
      <c r="T219" s="37"/>
      <c r="U219" s="37"/>
    </row>
    <row r="220" spans="1:21" x14ac:dyDescent="0.25">
      <c r="A220" s="49"/>
      <c r="B220" s="456"/>
      <c r="C220" s="49"/>
      <c r="D220" s="49"/>
      <c r="E220" s="49"/>
      <c r="F220" s="49"/>
      <c r="G220" s="49"/>
      <c r="H220" s="49"/>
      <c r="I220" s="49"/>
      <c r="J220" s="49"/>
      <c r="K220" s="49"/>
      <c r="L220" s="49"/>
      <c r="M220" s="49"/>
      <c r="N220" s="49"/>
      <c r="Q220" s="37"/>
      <c r="R220" s="37"/>
      <c r="S220" s="37"/>
      <c r="T220" s="37"/>
      <c r="U220" s="37"/>
    </row>
    <row r="221" spans="1:21" ht="44.25" customHeight="1" x14ac:dyDescent="0.25">
      <c r="A221" s="49"/>
      <c r="B221" s="1659" t="s">
        <v>1985</v>
      </c>
      <c r="C221" s="1660"/>
      <c r="D221" s="1660"/>
      <c r="E221" s="1660"/>
      <c r="F221" s="1660"/>
      <c r="G221" s="1660"/>
      <c r="H221" s="1660"/>
      <c r="I221" s="1660"/>
      <c r="J221" s="1660"/>
      <c r="K221" s="1661"/>
      <c r="L221" s="49"/>
      <c r="M221" s="49"/>
      <c r="N221" s="49"/>
      <c r="Q221" s="37"/>
      <c r="R221" s="37"/>
      <c r="S221" s="37"/>
      <c r="T221" s="37"/>
      <c r="U221" s="37"/>
    </row>
    <row r="222" spans="1:21" x14ac:dyDescent="0.25">
      <c r="A222" s="49"/>
      <c r="B222" s="456"/>
      <c r="C222" s="49"/>
      <c r="D222" s="49"/>
      <c r="E222" s="49"/>
      <c r="F222" s="49"/>
      <c r="G222" s="49"/>
      <c r="H222" s="49"/>
      <c r="I222" s="49"/>
      <c r="J222" s="49"/>
      <c r="K222" s="49"/>
      <c r="L222" s="49"/>
      <c r="M222" s="49"/>
      <c r="N222" s="49"/>
      <c r="Q222" s="37"/>
      <c r="R222" s="37"/>
      <c r="S222" s="37"/>
      <c r="T222" s="37"/>
      <c r="U222" s="37"/>
    </row>
    <row r="223" spans="1:21" x14ac:dyDescent="0.25">
      <c r="A223" s="49"/>
      <c r="B223" s="671" t="s">
        <v>1987</v>
      </c>
      <c r="C223" s="49"/>
      <c r="D223" s="49"/>
      <c r="E223" s="49"/>
      <c r="F223" s="49"/>
      <c r="G223" s="49"/>
      <c r="H223" s="49"/>
      <c r="I223" s="49"/>
      <c r="J223" s="49"/>
      <c r="K223" s="49"/>
      <c r="L223" s="49"/>
      <c r="M223" s="49"/>
      <c r="N223" s="49"/>
      <c r="Q223" s="37"/>
      <c r="R223" s="37"/>
      <c r="S223" s="37"/>
      <c r="T223" s="37"/>
      <c r="U223" s="37"/>
    </row>
    <row r="224" spans="1:21" ht="11.25" customHeight="1" x14ac:dyDescent="0.25">
      <c r="A224" s="49"/>
      <c r="B224" s="456"/>
      <c r="C224" s="49"/>
      <c r="D224" s="49"/>
      <c r="E224" s="49"/>
      <c r="F224" s="49"/>
      <c r="G224" s="49"/>
      <c r="H224" s="49"/>
      <c r="I224" s="49"/>
      <c r="J224" s="49"/>
      <c r="K224" s="49"/>
      <c r="L224" s="49"/>
      <c r="M224" s="49"/>
      <c r="N224" s="49"/>
      <c r="Q224" s="37"/>
      <c r="R224" s="37"/>
      <c r="S224" s="37"/>
      <c r="T224" s="37"/>
      <c r="U224" s="37"/>
    </row>
    <row r="225" spans="1:21" ht="25.5" customHeight="1" x14ac:dyDescent="0.25">
      <c r="A225" s="49"/>
      <c r="B225" s="921" t="s">
        <v>716</v>
      </c>
      <c r="C225" s="922" t="s">
        <v>1630</v>
      </c>
      <c r="D225" s="922" t="s">
        <v>1986</v>
      </c>
      <c r="E225" s="1666" t="s">
        <v>1622</v>
      </c>
      <c r="F225" s="1666"/>
      <c r="G225" s="49"/>
      <c r="H225" s="49"/>
      <c r="I225" s="49"/>
      <c r="J225" s="49"/>
      <c r="K225" s="49"/>
      <c r="L225" s="49"/>
      <c r="M225" s="49"/>
      <c r="N225" s="49"/>
      <c r="Q225" s="37"/>
      <c r="R225" s="37"/>
      <c r="S225" s="37"/>
      <c r="T225" s="37"/>
      <c r="U225" s="37"/>
    </row>
    <row r="226" spans="1:21" x14ac:dyDescent="0.25">
      <c r="A226" s="49"/>
      <c r="B226" s="1093"/>
      <c r="C226" s="1090"/>
      <c r="D226" s="1093" t="s">
        <v>62</v>
      </c>
      <c r="E226" s="1618" t="s">
        <v>62</v>
      </c>
      <c r="F226" s="1619"/>
      <c r="G226" s="49"/>
      <c r="H226" s="49"/>
      <c r="I226" s="49"/>
      <c r="J226" s="49"/>
      <c r="K226" s="49"/>
      <c r="L226" s="49"/>
      <c r="M226" s="49"/>
      <c r="N226" s="49"/>
      <c r="O226" t="str">
        <f>IF(AND(D226="Yes",E226&lt;&gt;"Select"),"Yes",IF(AND(D226="Yes",E226="Select"),"No",""))</f>
        <v/>
      </c>
      <c r="Q226" s="37"/>
      <c r="R226" s="37"/>
      <c r="S226" s="37"/>
      <c r="T226" s="37"/>
      <c r="U226" s="37"/>
    </row>
    <row r="227" spans="1:21" x14ac:dyDescent="0.25">
      <c r="A227" s="49"/>
      <c r="B227" s="1093"/>
      <c r="C227" s="1090"/>
      <c r="D227" s="1093" t="s">
        <v>62</v>
      </c>
      <c r="E227" s="1618" t="s">
        <v>62</v>
      </c>
      <c r="F227" s="1619"/>
      <c r="G227" s="49"/>
      <c r="H227" s="49"/>
      <c r="I227" s="49"/>
      <c r="J227" s="49"/>
      <c r="K227" s="49"/>
      <c r="L227" s="49"/>
      <c r="M227" s="49"/>
      <c r="N227" s="49"/>
      <c r="O227" t="str">
        <f t="shared" ref="O227:O235" si="29">IF(AND(D227="Yes",E227&lt;&gt;"Select"),"Yes",IF(AND(D227="Yes",E227="Select"),"No",""))</f>
        <v/>
      </c>
      <c r="Q227" s="37"/>
      <c r="R227" s="37"/>
      <c r="S227" s="37"/>
      <c r="T227" s="37"/>
      <c r="U227" s="37"/>
    </row>
    <row r="228" spans="1:21" x14ac:dyDescent="0.25">
      <c r="A228" s="49"/>
      <c r="B228" s="1093"/>
      <c r="C228" s="1090"/>
      <c r="D228" s="1093" t="s">
        <v>62</v>
      </c>
      <c r="E228" s="1618" t="s">
        <v>62</v>
      </c>
      <c r="F228" s="1619"/>
      <c r="G228" s="49"/>
      <c r="H228" s="49"/>
      <c r="I228" s="49"/>
      <c r="J228" s="49"/>
      <c r="K228" s="49"/>
      <c r="L228" s="49"/>
      <c r="M228" s="49"/>
      <c r="N228" s="49"/>
      <c r="O228" t="str">
        <f t="shared" si="29"/>
        <v/>
      </c>
      <c r="Q228" s="37"/>
      <c r="R228" s="37"/>
      <c r="S228" s="37"/>
      <c r="T228" s="37"/>
      <c r="U228" s="37"/>
    </row>
    <row r="229" spans="1:21" x14ac:dyDescent="0.25">
      <c r="A229" s="49"/>
      <c r="B229" s="1093"/>
      <c r="C229" s="1090"/>
      <c r="D229" s="1093" t="s">
        <v>62</v>
      </c>
      <c r="E229" s="1618" t="s">
        <v>62</v>
      </c>
      <c r="F229" s="1619"/>
      <c r="G229" s="49"/>
      <c r="H229" s="49"/>
      <c r="I229" s="49"/>
      <c r="J229" s="49"/>
      <c r="K229" s="49"/>
      <c r="L229" s="49"/>
      <c r="M229" s="49"/>
      <c r="N229" s="49"/>
      <c r="O229" t="str">
        <f t="shared" si="29"/>
        <v/>
      </c>
      <c r="Q229" s="37"/>
      <c r="R229" s="37"/>
      <c r="S229" s="37"/>
      <c r="T229" s="37"/>
      <c r="U229" s="37"/>
    </row>
    <row r="230" spans="1:21" x14ac:dyDescent="0.25">
      <c r="A230" s="49"/>
      <c r="B230" s="1093"/>
      <c r="C230" s="1090"/>
      <c r="D230" s="1093" t="s">
        <v>62</v>
      </c>
      <c r="E230" s="1618" t="s">
        <v>62</v>
      </c>
      <c r="F230" s="1619"/>
      <c r="G230" s="49"/>
      <c r="H230" s="49"/>
      <c r="I230" s="49"/>
      <c r="J230" s="49"/>
      <c r="K230" s="49"/>
      <c r="L230" s="49"/>
      <c r="M230" s="49"/>
      <c r="N230" s="49"/>
      <c r="O230" t="str">
        <f t="shared" si="29"/>
        <v/>
      </c>
      <c r="Q230" s="37"/>
      <c r="R230" s="37"/>
      <c r="S230" s="37"/>
      <c r="T230" s="37"/>
      <c r="U230" s="37"/>
    </row>
    <row r="231" spans="1:21" x14ac:dyDescent="0.25">
      <c r="A231" s="49"/>
      <c r="B231" s="1093"/>
      <c r="C231" s="1090"/>
      <c r="D231" s="1093" t="s">
        <v>62</v>
      </c>
      <c r="E231" s="1618" t="s">
        <v>62</v>
      </c>
      <c r="F231" s="1619"/>
      <c r="G231" s="49"/>
      <c r="H231" s="49"/>
      <c r="I231" s="49"/>
      <c r="J231" s="49"/>
      <c r="K231" s="49"/>
      <c r="L231" s="49"/>
      <c r="M231" s="49"/>
      <c r="N231" s="49"/>
      <c r="O231" t="str">
        <f t="shared" si="29"/>
        <v/>
      </c>
      <c r="Q231" s="37"/>
      <c r="R231" s="37"/>
      <c r="S231" s="37"/>
      <c r="T231" s="37"/>
      <c r="U231" s="37"/>
    </row>
    <row r="232" spans="1:21" x14ac:dyDescent="0.25">
      <c r="A232" s="49"/>
      <c r="B232" s="1093"/>
      <c r="C232" s="1090"/>
      <c r="D232" s="1093" t="s">
        <v>62</v>
      </c>
      <c r="E232" s="1618" t="s">
        <v>62</v>
      </c>
      <c r="F232" s="1619"/>
      <c r="G232" s="49"/>
      <c r="H232" s="49"/>
      <c r="I232" s="49"/>
      <c r="J232" s="49"/>
      <c r="K232" s="49"/>
      <c r="L232" s="49"/>
      <c r="M232" s="49"/>
      <c r="N232" s="49"/>
      <c r="O232" t="str">
        <f t="shared" si="29"/>
        <v/>
      </c>
      <c r="Q232" s="37"/>
      <c r="R232" s="37"/>
      <c r="S232" s="37"/>
      <c r="T232" s="37"/>
      <c r="U232" s="37"/>
    </row>
    <row r="233" spans="1:21" x14ac:dyDescent="0.25">
      <c r="A233" s="49"/>
      <c r="B233" s="1093"/>
      <c r="C233" s="1090"/>
      <c r="D233" s="1093" t="s">
        <v>62</v>
      </c>
      <c r="E233" s="1618" t="s">
        <v>62</v>
      </c>
      <c r="F233" s="1619"/>
      <c r="G233" s="49"/>
      <c r="H233" s="49"/>
      <c r="I233" s="49"/>
      <c r="J233" s="49"/>
      <c r="K233" s="49"/>
      <c r="L233" s="49"/>
      <c r="M233" s="49"/>
      <c r="N233" s="49"/>
      <c r="O233" t="str">
        <f t="shared" si="29"/>
        <v/>
      </c>
      <c r="Q233" s="37"/>
      <c r="R233" s="37"/>
      <c r="S233" s="37"/>
      <c r="T233" s="37"/>
      <c r="U233" s="37"/>
    </row>
    <row r="234" spans="1:21" x14ac:dyDescent="0.25">
      <c r="A234" s="49"/>
      <c r="B234" s="1093"/>
      <c r="C234" s="1090"/>
      <c r="D234" s="1093" t="s">
        <v>62</v>
      </c>
      <c r="E234" s="1618" t="s">
        <v>62</v>
      </c>
      <c r="F234" s="1619"/>
      <c r="G234" s="49"/>
      <c r="H234" s="49"/>
      <c r="I234" s="49"/>
      <c r="J234" s="49"/>
      <c r="K234" s="49"/>
      <c r="L234" s="49"/>
      <c r="M234" s="49"/>
      <c r="N234" s="49"/>
      <c r="O234" t="str">
        <f t="shared" si="29"/>
        <v/>
      </c>
      <c r="Q234" s="37"/>
      <c r="R234" s="37"/>
      <c r="S234" s="37"/>
      <c r="T234" s="37"/>
      <c r="U234" s="37"/>
    </row>
    <row r="235" spans="1:21" x14ac:dyDescent="0.25">
      <c r="A235" s="49"/>
      <c r="B235" s="1093"/>
      <c r="C235" s="1090"/>
      <c r="D235" s="1093" t="s">
        <v>62</v>
      </c>
      <c r="E235" s="1618" t="s">
        <v>62</v>
      </c>
      <c r="F235" s="1619"/>
      <c r="G235" s="49"/>
      <c r="H235" s="49"/>
      <c r="I235" s="49"/>
      <c r="J235" s="49"/>
      <c r="K235" s="49"/>
      <c r="L235" s="49"/>
      <c r="M235" s="49"/>
      <c r="N235" s="49"/>
      <c r="O235" t="str">
        <f t="shared" si="29"/>
        <v/>
      </c>
      <c r="Q235" s="37"/>
      <c r="R235" s="37"/>
      <c r="S235" s="37"/>
      <c r="T235" s="37"/>
      <c r="U235" s="37"/>
    </row>
    <row r="236" spans="1:21" ht="10.5" customHeight="1" x14ac:dyDescent="0.25">
      <c r="A236" s="49"/>
      <c r="B236" s="456"/>
      <c r="C236" s="49"/>
      <c r="D236" s="49"/>
      <c r="E236" s="49"/>
      <c r="F236" s="49"/>
      <c r="G236" s="49"/>
      <c r="H236" s="49"/>
      <c r="I236" s="49"/>
      <c r="J236" s="49"/>
      <c r="K236" s="49"/>
      <c r="L236" s="49"/>
      <c r="M236" s="49"/>
      <c r="N236" s="49"/>
      <c r="Q236" s="37"/>
      <c r="R236" s="37"/>
      <c r="S236" s="37"/>
      <c r="T236" s="37"/>
      <c r="U236" s="37"/>
    </row>
    <row r="237" spans="1:21" ht="10.5" customHeight="1" x14ac:dyDescent="0.25">
      <c r="A237" s="49"/>
      <c r="B237" s="456"/>
      <c r="C237" s="49"/>
      <c r="D237" s="49"/>
      <c r="E237" s="49"/>
      <c r="F237" s="49"/>
      <c r="G237" s="49"/>
      <c r="H237" s="49"/>
      <c r="I237" s="49"/>
      <c r="J237" s="49"/>
      <c r="K237" s="49"/>
      <c r="L237" s="49"/>
      <c r="M237" s="49"/>
      <c r="N237" s="49"/>
      <c r="Q237" s="37"/>
      <c r="R237" s="37"/>
      <c r="S237" s="37"/>
      <c r="T237" s="37"/>
      <c r="U237" s="37"/>
    </row>
    <row r="238" spans="1:21" ht="19.5" customHeight="1" x14ac:dyDescent="0.25">
      <c r="A238" s="49"/>
      <c r="B238" s="1621" t="s">
        <v>1628</v>
      </c>
      <c r="C238" s="1621"/>
      <c r="D238" s="1621"/>
      <c r="E238" s="137" t="str">
        <f>IF(AND(COUNTIF(O226:O235,"No")=0,COUNTIF(O226:O235,"Yes")&gt;0),"Yes","No")</f>
        <v>No</v>
      </c>
      <c r="F238" s="49"/>
      <c r="G238" s="49"/>
      <c r="H238" s="49"/>
      <c r="I238" s="49"/>
      <c r="J238" s="49"/>
      <c r="K238" s="49"/>
      <c r="L238" s="49"/>
      <c r="M238" s="49"/>
      <c r="N238" s="49"/>
      <c r="Q238" s="37"/>
      <c r="R238" s="37"/>
      <c r="S238" s="37"/>
      <c r="T238" s="37"/>
      <c r="U238" s="37"/>
    </row>
    <row r="239" spans="1:21" ht="21" customHeight="1" x14ac:dyDescent="0.25">
      <c r="A239" s="49"/>
      <c r="B239" s="49"/>
      <c r="C239" s="49"/>
      <c r="D239" s="49"/>
      <c r="E239" s="49"/>
      <c r="F239" s="49"/>
      <c r="G239" s="49"/>
      <c r="H239" s="49"/>
      <c r="I239" s="49"/>
      <c r="J239" s="49"/>
      <c r="K239" s="49"/>
      <c r="L239" s="49"/>
      <c r="M239" s="49"/>
      <c r="N239" s="49"/>
      <c r="Q239" s="37"/>
      <c r="R239" s="37"/>
      <c r="S239" s="37"/>
      <c r="T239" s="37"/>
      <c r="U239" s="37"/>
    </row>
    <row r="240" spans="1:21" ht="16.5" customHeight="1" x14ac:dyDescent="0.25">
      <c r="A240" s="1677" t="s">
        <v>97</v>
      </c>
      <c r="B240" s="1677"/>
      <c r="C240" s="1677"/>
      <c r="D240" s="49"/>
      <c r="E240" s="49"/>
      <c r="F240" s="49"/>
      <c r="G240" s="49"/>
      <c r="H240" s="49"/>
      <c r="I240" s="49"/>
      <c r="J240" s="49"/>
      <c r="K240" s="49"/>
      <c r="L240" s="49"/>
      <c r="M240" s="49"/>
      <c r="N240" s="49"/>
      <c r="Q240" s="37"/>
      <c r="R240" s="37"/>
      <c r="S240" s="37"/>
      <c r="T240" s="37"/>
      <c r="U240" s="37"/>
    </row>
    <row r="241" spans="1:21" x14ac:dyDescent="0.25">
      <c r="A241" s="49"/>
      <c r="B241" s="49"/>
      <c r="C241" s="49"/>
      <c r="D241" s="49"/>
      <c r="E241" s="49"/>
      <c r="F241" s="49"/>
      <c r="G241" s="49"/>
      <c r="H241" s="49"/>
      <c r="I241" s="49"/>
      <c r="J241" s="49"/>
      <c r="K241" s="49"/>
      <c r="L241" s="49"/>
      <c r="M241" s="49"/>
      <c r="N241" s="49"/>
      <c r="Q241" s="37"/>
      <c r="R241" s="37"/>
      <c r="S241" s="37"/>
      <c r="T241" s="37"/>
      <c r="U241" s="37"/>
    </row>
    <row r="242" spans="1:21" ht="21" customHeight="1" x14ac:dyDescent="0.25">
      <c r="A242" s="49"/>
      <c r="B242" s="1627" t="s">
        <v>2461</v>
      </c>
      <c r="C242" s="1628"/>
      <c r="D242" s="1628"/>
      <c r="E242" s="1628"/>
      <c r="F242" s="1628"/>
      <c r="G242" s="769" t="s">
        <v>1297</v>
      </c>
      <c r="H242" s="1629" t="s">
        <v>1298</v>
      </c>
      <c r="I242" s="1630"/>
      <c r="J242" s="49"/>
      <c r="K242" s="49"/>
      <c r="L242" s="49"/>
      <c r="M242" s="49"/>
      <c r="N242" s="49"/>
      <c r="Q242" s="37"/>
      <c r="R242" s="37"/>
      <c r="S242" s="37"/>
      <c r="U242" s="37"/>
    </row>
    <row r="243" spans="1:21" ht="27" customHeight="1" x14ac:dyDescent="0.25">
      <c r="A243" s="49"/>
      <c r="B243" s="1644" t="str">
        <f>Submittals!H9</f>
        <v>Select the Submission Stage in Project Information</v>
      </c>
      <c r="C243" s="1645" t="s">
        <v>294</v>
      </c>
      <c r="D243" s="1645"/>
      <c r="E243" s="1645"/>
      <c r="F243" s="1646"/>
      <c r="G243" s="780" t="s">
        <v>62</v>
      </c>
      <c r="H243" s="1625"/>
      <c r="I243" s="1626"/>
      <c r="J243" s="49"/>
      <c r="K243" s="49"/>
      <c r="L243" s="49"/>
      <c r="M243" s="49"/>
      <c r="N243" s="49"/>
      <c r="O243" s="37" t="str">
        <f>IF(OR(B243="/",B243="No evidence required at this submission stage"),"Yes",IF(G243="Submitted","Yes","No"))</f>
        <v>No</v>
      </c>
      <c r="Q243" s="37"/>
      <c r="R243" s="37"/>
      <c r="S243" s="37"/>
      <c r="U243" s="37"/>
    </row>
    <row r="244" spans="1:21" ht="27" customHeight="1" x14ac:dyDescent="0.25">
      <c r="A244" s="49"/>
      <c r="B244" s="1644" t="str">
        <f>Submittals!H10</f>
        <v>Select the Submission Stage in Project Information</v>
      </c>
      <c r="C244" s="1645" t="s">
        <v>294</v>
      </c>
      <c r="D244" s="1645"/>
      <c r="E244" s="1645"/>
      <c r="F244" s="1646"/>
      <c r="G244" s="903" t="s">
        <v>62</v>
      </c>
      <c r="H244" s="1625"/>
      <c r="I244" s="1626"/>
      <c r="J244" s="49"/>
      <c r="K244" s="49"/>
      <c r="L244" s="49"/>
      <c r="M244" s="49"/>
      <c r="N244" s="49"/>
      <c r="O244" s="37" t="str">
        <f t="shared" ref="O244" si="30">IF(OR(B244="/",B244="No evidence required at this submission stage"),"Yes",IF(G244="Submitted","Yes","No"))</f>
        <v>No</v>
      </c>
      <c r="U244" s="37"/>
    </row>
    <row r="245" spans="1:21" x14ac:dyDescent="0.25">
      <c r="A245" s="49"/>
      <c r="B245" s="49"/>
      <c r="C245" s="49"/>
      <c r="D245" s="49"/>
      <c r="E245" s="49"/>
      <c r="F245" s="49"/>
      <c r="G245" s="49"/>
      <c r="H245" s="49"/>
      <c r="I245" s="49"/>
      <c r="J245" s="49"/>
      <c r="K245" s="49"/>
      <c r="L245" s="49"/>
      <c r="M245" s="49"/>
      <c r="N245" s="49"/>
      <c r="O245" s="37"/>
      <c r="U245" s="37"/>
    </row>
    <row r="246" spans="1:21" ht="21" customHeight="1" x14ac:dyDescent="0.25">
      <c r="A246" s="49"/>
      <c r="B246" s="1627" t="s">
        <v>2462</v>
      </c>
      <c r="C246" s="1628"/>
      <c r="D246" s="1628"/>
      <c r="E246" s="1628"/>
      <c r="F246" s="1628"/>
      <c r="G246" s="793" t="s">
        <v>1297</v>
      </c>
      <c r="H246" s="1629" t="s">
        <v>1298</v>
      </c>
      <c r="I246" s="1630"/>
      <c r="J246" s="49"/>
      <c r="K246" s="49"/>
      <c r="L246" s="49"/>
      <c r="M246" s="49"/>
      <c r="N246" s="49"/>
      <c r="O246" s="37"/>
      <c r="U246" s="37"/>
    </row>
    <row r="247" spans="1:21" ht="30" customHeight="1" x14ac:dyDescent="0.25">
      <c r="A247" s="49"/>
      <c r="B247" s="1644" t="str">
        <f>Submittals!H12</f>
        <v>Select the Submission Stage in Project Information</v>
      </c>
      <c r="C247" s="1645" t="s">
        <v>294</v>
      </c>
      <c r="D247" s="1645"/>
      <c r="E247" s="1645"/>
      <c r="F247" s="1646"/>
      <c r="G247" s="795" t="s">
        <v>62</v>
      </c>
      <c r="H247" s="1625"/>
      <c r="I247" s="1626"/>
      <c r="J247" s="49"/>
      <c r="K247" s="49"/>
      <c r="L247" s="49"/>
      <c r="M247" s="49"/>
      <c r="N247" s="49"/>
      <c r="O247" s="37" t="str">
        <f>IF(OR(B247="/",B247="No evidence required at this submission stage"),"Yes",IF(G247="Submitted","Yes","No"))</f>
        <v>No</v>
      </c>
      <c r="U247" s="37"/>
    </row>
    <row r="248" spans="1:21" ht="30" customHeight="1" x14ac:dyDescent="0.25">
      <c r="A248" s="49"/>
      <c r="B248" s="1644" t="str">
        <f>Submittals!H13</f>
        <v>Select the Submission Stage in Project Information</v>
      </c>
      <c r="C248" s="1645" t="s">
        <v>294</v>
      </c>
      <c r="D248" s="1645"/>
      <c r="E248" s="1645"/>
      <c r="F248" s="1646"/>
      <c r="G248" s="795" t="s">
        <v>62</v>
      </c>
      <c r="H248" s="1625"/>
      <c r="I248" s="1626"/>
      <c r="J248" s="49"/>
      <c r="K248" s="49"/>
      <c r="L248" s="49"/>
      <c r="M248" s="49"/>
      <c r="N248" s="49"/>
      <c r="O248" s="37" t="str">
        <f>IF(OR(B248="/",B248="N/A",B248="No evidence required at this submission stage"),"Yes",IF(G248="Submitted","Yes","No"))</f>
        <v>No</v>
      </c>
      <c r="U248" s="37"/>
    </row>
    <row r="249" spans="1:21" x14ac:dyDescent="0.25">
      <c r="A249" s="49"/>
      <c r="B249" s="49"/>
      <c r="C249" s="49"/>
      <c r="D249" s="49"/>
      <c r="E249" s="49"/>
      <c r="F249" s="49"/>
      <c r="G249" s="49"/>
      <c r="H249" s="49"/>
      <c r="I249" s="49"/>
      <c r="J249" s="49"/>
      <c r="K249" s="49"/>
      <c r="L249" s="49"/>
      <c r="M249" s="49"/>
      <c r="N249" s="49"/>
      <c r="U249" s="37"/>
    </row>
    <row r="250" spans="1:21" ht="16.5" customHeight="1" x14ac:dyDescent="0.25">
      <c r="A250" s="1677" t="s">
        <v>8</v>
      </c>
      <c r="B250" s="1677"/>
      <c r="C250" s="1677"/>
      <c r="D250" s="49"/>
      <c r="E250" s="49"/>
      <c r="F250" s="49"/>
      <c r="G250" s="49"/>
      <c r="H250" s="49"/>
      <c r="I250" s="49"/>
      <c r="J250" s="49"/>
      <c r="K250" s="49"/>
      <c r="L250" s="49"/>
      <c r="M250" s="49"/>
      <c r="N250" s="49"/>
      <c r="Q250" s="37"/>
      <c r="R250" s="37"/>
      <c r="S250" s="37"/>
      <c r="U250" s="37"/>
    </row>
    <row r="251" spans="1:21" ht="15" customHeight="1" x14ac:dyDescent="0.25">
      <c r="A251" s="49"/>
      <c r="B251" s="49"/>
      <c r="C251" s="49"/>
      <c r="D251" s="49"/>
      <c r="E251" s="49"/>
      <c r="F251" s="49"/>
      <c r="G251" s="49"/>
      <c r="H251" s="49"/>
      <c r="I251" s="49"/>
      <c r="J251" s="49"/>
      <c r="K251" s="49"/>
      <c r="L251" s="49"/>
      <c r="M251" s="49"/>
      <c r="N251" s="49"/>
      <c r="U251" s="37"/>
    </row>
    <row r="252" spans="1:21" ht="18" customHeight="1" x14ac:dyDescent="0.25">
      <c r="A252" s="49"/>
      <c r="B252" s="110" t="s">
        <v>19</v>
      </c>
      <c r="C252" s="8">
        <f>IF(E210="Yes",1,0)+IF(E238="Yes",1,0)</f>
        <v>0</v>
      </c>
      <c r="D252" s="49"/>
      <c r="E252" s="49"/>
      <c r="F252" s="49"/>
      <c r="G252" s="49"/>
      <c r="H252" s="49"/>
      <c r="I252" s="49"/>
      <c r="J252" s="49"/>
      <c r="K252" s="49"/>
      <c r="L252" s="49"/>
      <c r="M252" s="49"/>
      <c r="N252" s="49"/>
    </row>
    <row r="253" spans="1:21" ht="18" customHeight="1" x14ac:dyDescent="0.25">
      <c r="A253" s="49"/>
      <c r="B253" s="110" t="s">
        <v>151</v>
      </c>
      <c r="C253" s="7" t="str">
        <f>IF(E210="Yes",IF(E238="Yes",IF(AND(COUNTIF(O243:O244,"Yes")=2,COUNTIF(O247:O248,"Yes")=2),"Yes","No"),IF(COUNTIF(O243:O244,"Yes")=2,"Yes",IF(E238="Yes",IF(COUNTIF(O247:O248,"Yes")=2,"Yes","No"),"No"))),"No")</f>
        <v>No</v>
      </c>
      <c r="D253" s="49"/>
      <c r="E253" s="49"/>
      <c r="F253" s="49"/>
      <c r="G253" s="49"/>
      <c r="H253" s="49"/>
      <c r="I253" s="49"/>
      <c r="J253" s="49"/>
      <c r="K253" s="49"/>
      <c r="L253" s="49"/>
      <c r="M253" s="49"/>
      <c r="N253" s="49"/>
    </row>
    <row r="254" spans="1:21" ht="19.5" customHeight="1" x14ac:dyDescent="0.25">
      <c r="A254" s="49"/>
      <c r="B254" s="49"/>
      <c r="C254" s="49"/>
      <c r="D254" s="49"/>
      <c r="E254" s="49"/>
      <c r="F254" s="49"/>
      <c r="G254" s="49"/>
      <c r="H254" s="49"/>
      <c r="I254" s="49"/>
      <c r="J254" s="49"/>
      <c r="K254" s="49"/>
      <c r="L254" s="49"/>
      <c r="M254" s="49"/>
      <c r="N254" s="49"/>
    </row>
    <row r="255" spans="1:21" ht="18" customHeight="1" x14ac:dyDescent="0.25">
      <c r="A255" s="1676" t="s">
        <v>705</v>
      </c>
      <c r="B255" s="1676"/>
      <c r="C255" s="1676"/>
      <c r="D255" s="1676"/>
      <c r="E255" s="1676"/>
      <c r="F255" s="1676"/>
      <c r="G255" s="1676"/>
      <c r="H255" s="1676"/>
      <c r="I255" s="1676"/>
      <c r="J255" s="1676"/>
      <c r="K255" s="1676"/>
      <c r="L255" s="1676"/>
      <c r="M255" s="1676"/>
      <c r="N255" s="1676"/>
    </row>
    <row r="256" spans="1:21" ht="13.5" customHeight="1" x14ac:dyDescent="0.25">
      <c r="A256" s="48"/>
      <c r="B256" s="48"/>
      <c r="C256" s="48"/>
      <c r="D256" s="48"/>
      <c r="E256" s="48"/>
      <c r="F256" s="48"/>
      <c r="G256" s="48"/>
      <c r="H256" s="48"/>
      <c r="I256" s="48"/>
      <c r="J256" s="48"/>
      <c r="K256" s="48"/>
      <c r="L256" s="48"/>
      <c r="M256" s="48"/>
      <c r="N256" s="48"/>
    </row>
    <row r="257" spans="1:14" ht="16.5" customHeight="1" x14ac:dyDescent="0.25">
      <c r="A257" s="1677" t="s">
        <v>117</v>
      </c>
      <c r="B257" s="1677"/>
      <c r="C257" s="1677"/>
      <c r="D257" s="49"/>
      <c r="E257" s="49"/>
      <c r="F257" s="49"/>
      <c r="G257" s="49"/>
      <c r="H257" s="49"/>
      <c r="I257" s="49"/>
      <c r="J257" s="49"/>
      <c r="K257" s="49"/>
      <c r="L257" s="49"/>
      <c r="M257" s="49"/>
      <c r="N257" s="49"/>
    </row>
    <row r="258" spans="1:14" x14ac:dyDescent="0.25">
      <c r="A258" s="49"/>
      <c r="B258" s="49"/>
      <c r="C258" s="49"/>
      <c r="D258" s="49"/>
      <c r="E258" s="49"/>
      <c r="F258" s="49"/>
      <c r="G258" s="49"/>
      <c r="H258" s="49"/>
      <c r="I258" s="49"/>
      <c r="J258" s="49"/>
      <c r="K258" s="49"/>
      <c r="L258" s="49"/>
      <c r="M258" s="49"/>
      <c r="N258" s="49"/>
    </row>
    <row r="259" spans="1:14" ht="18" customHeight="1" x14ac:dyDescent="0.25">
      <c r="A259" s="49"/>
      <c r="B259" s="761" t="s">
        <v>1988</v>
      </c>
      <c r="C259" s="48"/>
      <c r="D259" s="49"/>
      <c r="E259" s="49"/>
      <c r="F259" s="49"/>
      <c r="G259" s="49"/>
      <c r="H259" s="49"/>
      <c r="I259" s="49"/>
      <c r="J259" s="49"/>
      <c r="K259" s="49"/>
      <c r="L259" s="49"/>
      <c r="M259" s="49"/>
      <c r="N259" s="49"/>
    </row>
    <row r="260" spans="1:14" ht="18" customHeight="1" x14ac:dyDescent="0.25">
      <c r="A260" s="49"/>
      <c r="B260" s="324"/>
      <c r="C260" s="48"/>
      <c r="D260" s="49"/>
      <c r="E260" s="49"/>
      <c r="F260" s="49"/>
      <c r="G260" s="49"/>
      <c r="H260" s="49"/>
      <c r="I260" s="49"/>
      <c r="J260" s="49"/>
      <c r="K260" s="49"/>
      <c r="L260" s="49"/>
      <c r="M260" s="49"/>
      <c r="N260" s="49"/>
    </row>
    <row r="261" spans="1:14" ht="41.25" customHeight="1" x14ac:dyDescent="0.25">
      <c r="A261" s="49"/>
      <c r="B261" s="1659" t="s">
        <v>1989</v>
      </c>
      <c r="C261" s="1660"/>
      <c r="D261" s="1660"/>
      <c r="E261" s="1660"/>
      <c r="F261" s="1660"/>
      <c r="G261" s="1660"/>
      <c r="H261" s="1660"/>
      <c r="I261" s="1660"/>
      <c r="J261" s="1660"/>
      <c r="K261" s="1661"/>
      <c r="L261" s="49"/>
      <c r="M261" s="49"/>
      <c r="N261" s="49"/>
    </row>
    <row r="262" spans="1:14" ht="18" customHeight="1" x14ac:dyDescent="0.25">
      <c r="A262" s="49"/>
      <c r="B262" s="324"/>
      <c r="C262" s="48"/>
      <c r="D262" s="49"/>
      <c r="E262" s="49"/>
      <c r="F262" s="49"/>
      <c r="G262" s="49"/>
      <c r="H262" s="49"/>
      <c r="I262" s="49"/>
      <c r="J262" s="49"/>
      <c r="K262" s="49"/>
      <c r="L262" s="49"/>
      <c r="M262" s="49"/>
      <c r="N262" s="49"/>
    </row>
    <row r="263" spans="1:14" ht="18" customHeight="1" x14ac:dyDescent="0.25">
      <c r="A263" s="49"/>
      <c r="B263" s="671" t="s">
        <v>1631</v>
      </c>
      <c r="C263" s="49"/>
      <c r="D263" s="49"/>
      <c r="E263" s="49"/>
      <c r="F263" s="49"/>
      <c r="G263" s="49"/>
      <c r="H263" s="49"/>
      <c r="I263" s="49"/>
      <c r="J263" s="49"/>
      <c r="K263" s="49"/>
      <c r="L263" s="49"/>
      <c r="M263" s="49"/>
      <c r="N263" s="49"/>
    </row>
    <row r="264" spans="1:14" ht="12" customHeight="1" x14ac:dyDescent="0.25">
      <c r="A264" s="49"/>
      <c r="B264" s="126"/>
      <c r="C264" s="49"/>
      <c r="D264" s="49"/>
      <c r="E264" s="49"/>
      <c r="F264" s="49"/>
      <c r="G264" s="49"/>
      <c r="H264" s="49"/>
      <c r="I264" s="49"/>
      <c r="J264" s="49"/>
      <c r="K264" s="49"/>
      <c r="L264" s="49"/>
      <c r="M264" s="49"/>
      <c r="N264" s="49"/>
    </row>
    <row r="265" spans="1:14" ht="18" customHeight="1" x14ac:dyDescent="0.25">
      <c r="A265" s="49"/>
      <c r="B265" s="1620" t="s">
        <v>1990</v>
      </c>
      <c r="C265" s="1620"/>
      <c r="D265" s="1620"/>
      <c r="E265" s="1620"/>
      <c r="F265" s="1620"/>
      <c r="G265" s="919" t="s">
        <v>62</v>
      </c>
      <c r="H265" s="49"/>
      <c r="I265" s="49"/>
      <c r="J265" s="49"/>
      <c r="K265" s="49"/>
      <c r="L265" s="49"/>
      <c r="M265" s="49"/>
      <c r="N265" s="49"/>
    </row>
    <row r="266" spans="1:14" ht="18" customHeight="1" x14ac:dyDescent="0.25">
      <c r="A266" s="49"/>
      <c r="B266" s="324"/>
      <c r="C266" s="48"/>
      <c r="D266" s="49"/>
      <c r="E266" s="49"/>
      <c r="F266" s="49"/>
      <c r="G266" s="49"/>
      <c r="H266" s="49"/>
      <c r="I266" s="49"/>
      <c r="J266" s="49"/>
      <c r="K266" s="49"/>
      <c r="L266" s="49"/>
      <c r="M266" s="49"/>
      <c r="N266" s="49"/>
    </row>
    <row r="267" spans="1:14" ht="18" customHeight="1" x14ac:dyDescent="0.25">
      <c r="A267" s="49"/>
      <c r="B267" s="1621" t="s">
        <v>2000</v>
      </c>
      <c r="C267" s="1621"/>
      <c r="D267" s="1621"/>
      <c r="E267" s="137" t="str">
        <f>IF(G265="Yes","Yes","No")</f>
        <v>No</v>
      </c>
      <c r="F267" s="49"/>
      <c r="G267" s="49"/>
      <c r="H267" s="49"/>
      <c r="I267" s="49"/>
      <c r="J267" s="49"/>
      <c r="K267" s="49"/>
      <c r="L267" s="49"/>
      <c r="M267" s="49"/>
      <c r="N267" s="49"/>
    </row>
    <row r="268" spans="1:14" ht="16.5" customHeight="1" x14ac:dyDescent="0.25">
      <c r="A268" s="317"/>
      <c r="B268" s="953"/>
      <c r="C268" s="317"/>
      <c r="D268" s="317"/>
      <c r="E268" s="317"/>
      <c r="F268" s="317"/>
      <c r="G268" s="317"/>
      <c r="H268" s="317"/>
      <c r="I268" s="317"/>
      <c r="J268" s="317"/>
      <c r="K268" s="317"/>
      <c r="L268" s="317"/>
      <c r="M268" s="317"/>
      <c r="N268" s="317"/>
    </row>
    <row r="269" spans="1:14" ht="21" customHeight="1" x14ac:dyDescent="0.25">
      <c r="A269" s="49"/>
      <c r="B269" s="324"/>
      <c r="C269" s="48"/>
      <c r="D269" s="49"/>
      <c r="E269" s="49"/>
      <c r="F269" s="49"/>
      <c r="G269" s="49"/>
      <c r="H269" s="49"/>
      <c r="I269" s="49"/>
      <c r="J269" s="49"/>
      <c r="K269" s="49"/>
      <c r="L269" s="49"/>
      <c r="M269" s="49"/>
      <c r="N269" s="49"/>
    </row>
    <row r="270" spans="1:14" x14ac:dyDescent="0.25">
      <c r="A270" s="49"/>
      <c r="B270" s="761" t="s">
        <v>1633</v>
      </c>
      <c r="C270" s="49"/>
      <c r="D270" s="49"/>
      <c r="E270" s="49"/>
      <c r="F270" s="49"/>
      <c r="G270" s="49"/>
      <c r="H270" s="49"/>
      <c r="I270" s="49"/>
      <c r="J270" s="49"/>
      <c r="K270" s="49"/>
      <c r="L270" s="49"/>
      <c r="M270" s="49"/>
      <c r="N270" s="49"/>
    </row>
    <row r="271" spans="1:14" x14ac:dyDescent="0.25">
      <c r="A271" s="49"/>
      <c r="B271" s="930"/>
      <c r="C271" s="49"/>
      <c r="D271" s="49"/>
      <c r="E271" s="49"/>
      <c r="F271" s="49"/>
      <c r="G271" s="49"/>
      <c r="H271" s="49"/>
      <c r="I271" s="49"/>
      <c r="J271" s="49"/>
      <c r="K271" s="49"/>
      <c r="L271" s="49"/>
      <c r="M271" s="49"/>
      <c r="N271" s="49"/>
    </row>
    <row r="272" spans="1:14" x14ac:dyDescent="0.25">
      <c r="A272" s="49"/>
      <c r="B272" s="1649" t="s">
        <v>1634</v>
      </c>
      <c r="C272" s="1650"/>
      <c r="D272" s="1650"/>
      <c r="E272" s="1650"/>
      <c r="F272" s="1650"/>
      <c r="G272" s="1650"/>
      <c r="H272" s="1651"/>
      <c r="I272" s="49"/>
      <c r="J272" s="49"/>
      <c r="K272" s="49"/>
      <c r="L272" s="49"/>
      <c r="M272" s="49"/>
      <c r="N272" s="49"/>
    </row>
    <row r="273" spans="1:21" x14ac:dyDescent="0.25">
      <c r="A273" s="49"/>
      <c r="B273" s="1652" t="s">
        <v>1635</v>
      </c>
      <c r="C273" s="1653"/>
      <c r="D273" s="1653"/>
      <c r="E273" s="1653"/>
      <c r="F273" s="1653"/>
      <c r="G273" s="1653"/>
      <c r="H273" s="1654"/>
      <c r="I273" s="49"/>
      <c r="J273" s="49"/>
      <c r="K273" s="49"/>
      <c r="L273" s="49"/>
      <c r="M273" s="49"/>
      <c r="N273" s="49"/>
    </row>
    <row r="274" spans="1:21" x14ac:dyDescent="0.25">
      <c r="A274" s="49"/>
      <c r="B274" s="1655" t="s">
        <v>1636</v>
      </c>
      <c r="C274" s="1656"/>
      <c r="D274" s="1656"/>
      <c r="E274" s="1656"/>
      <c r="F274" s="1656"/>
      <c r="G274" s="1656"/>
      <c r="H274" s="1657"/>
      <c r="I274" s="49"/>
      <c r="J274" s="49"/>
      <c r="K274" s="49"/>
      <c r="L274" s="49"/>
      <c r="M274" s="49"/>
      <c r="N274" s="49"/>
    </row>
    <row r="275" spans="1:21" ht="17.25" customHeight="1" x14ac:dyDescent="0.25">
      <c r="A275" s="49"/>
      <c r="B275" s="324"/>
      <c r="C275" s="49"/>
      <c r="D275" s="49"/>
      <c r="E275" s="49"/>
      <c r="F275" s="49"/>
      <c r="G275" s="49"/>
      <c r="H275" s="49"/>
      <c r="I275" s="49"/>
      <c r="J275" s="49"/>
      <c r="K275" s="49"/>
      <c r="L275" s="49"/>
      <c r="M275" s="49"/>
      <c r="N275" s="49"/>
    </row>
    <row r="276" spans="1:21" x14ac:dyDescent="0.25">
      <c r="A276" s="49"/>
      <c r="B276" s="671" t="s">
        <v>1004</v>
      </c>
      <c r="C276" s="49"/>
      <c r="D276" s="49"/>
      <c r="E276" s="49"/>
      <c r="F276" s="49"/>
      <c r="G276" s="49"/>
      <c r="H276" s="49"/>
      <c r="I276" s="49"/>
      <c r="J276" s="49"/>
      <c r="K276" s="49"/>
      <c r="L276" s="49"/>
      <c r="M276" s="49"/>
      <c r="N276" s="49"/>
    </row>
    <row r="277" spans="1:21" x14ac:dyDescent="0.25">
      <c r="A277" s="49"/>
      <c r="B277" s="126"/>
      <c r="C277" s="49"/>
      <c r="D277" s="49"/>
      <c r="E277" s="49"/>
      <c r="F277" s="49"/>
      <c r="G277" s="49"/>
      <c r="H277" s="49"/>
      <c r="I277" s="49"/>
      <c r="J277" s="49"/>
      <c r="K277" s="49"/>
      <c r="L277" s="49"/>
      <c r="M277" s="49"/>
      <c r="N277" s="49"/>
    </row>
    <row r="278" spans="1:21" ht="18" customHeight="1" x14ac:dyDescent="0.25">
      <c r="A278" s="49"/>
      <c r="B278" s="1622" t="s">
        <v>1632</v>
      </c>
      <c r="C278" s="1623"/>
      <c r="D278" s="1624"/>
      <c r="E278" s="1648" t="s">
        <v>62</v>
      </c>
      <c r="F278" s="1648"/>
      <c r="G278" s="49"/>
      <c r="H278" s="49"/>
      <c r="I278" s="49"/>
      <c r="J278" s="49"/>
      <c r="K278" s="49"/>
      <c r="L278" s="49"/>
      <c r="M278" s="49"/>
      <c r="N278" s="49"/>
    </row>
    <row r="279" spans="1:21" ht="18" customHeight="1" x14ac:dyDescent="0.25">
      <c r="A279" s="49"/>
      <c r="B279" s="1622" t="s">
        <v>1637</v>
      </c>
      <c r="C279" s="1623"/>
      <c r="D279" s="1624"/>
      <c r="E279" s="1686"/>
      <c r="F279" s="1686"/>
      <c r="G279" s="49"/>
      <c r="H279" s="49"/>
      <c r="I279" s="49"/>
      <c r="J279" s="49"/>
      <c r="K279" s="49"/>
      <c r="L279" s="49"/>
      <c r="M279" s="49"/>
      <c r="N279" s="49"/>
    </row>
    <row r="280" spans="1:21" ht="18" customHeight="1" x14ac:dyDescent="0.25">
      <c r="A280" s="49"/>
      <c r="B280" s="49"/>
      <c r="C280" s="49"/>
      <c r="D280" s="49"/>
      <c r="E280" s="49"/>
      <c r="F280" s="49"/>
      <c r="G280" s="49"/>
      <c r="H280" s="49"/>
      <c r="I280" s="49"/>
      <c r="J280" s="49"/>
      <c r="K280" s="49"/>
      <c r="L280" s="49"/>
      <c r="M280" s="49"/>
      <c r="N280" s="49"/>
    </row>
    <row r="281" spans="1:21" ht="18" customHeight="1" x14ac:dyDescent="0.25">
      <c r="A281" s="49"/>
      <c r="B281" s="1647" t="s">
        <v>1638</v>
      </c>
      <c r="C281" s="1647"/>
      <c r="D281" s="1647"/>
      <c r="E281" s="1647"/>
      <c r="F281" s="1647"/>
      <c r="G281" s="1647"/>
      <c r="H281" s="1647"/>
      <c r="I281" s="1647"/>
      <c r="J281" s="1647"/>
      <c r="K281" s="1647"/>
      <c r="L281" s="49"/>
      <c r="M281" s="49"/>
      <c r="N281" s="49"/>
    </row>
    <row r="282" spans="1:21" ht="48.75" customHeight="1" x14ac:dyDescent="0.25">
      <c r="A282" s="49"/>
      <c r="B282" s="1658"/>
      <c r="C282" s="1658"/>
      <c r="D282" s="1658"/>
      <c r="E282" s="1658"/>
      <c r="F282" s="1658"/>
      <c r="G282" s="1658"/>
      <c r="H282" s="1658"/>
      <c r="I282" s="1658"/>
      <c r="J282" s="1658"/>
      <c r="K282" s="1658"/>
      <c r="L282" s="49"/>
      <c r="M282" s="49"/>
      <c r="N282" s="49"/>
    </row>
    <row r="283" spans="1:21" ht="15.75" customHeight="1" x14ac:dyDescent="0.25">
      <c r="A283" s="49"/>
      <c r="B283" s="49"/>
      <c r="C283" s="49"/>
      <c r="D283" s="49"/>
      <c r="E283" s="49"/>
      <c r="F283" s="49"/>
      <c r="G283" s="49"/>
      <c r="H283" s="49"/>
      <c r="I283" s="49"/>
      <c r="J283" s="49"/>
      <c r="K283" s="49"/>
      <c r="L283" s="49"/>
      <c r="M283" s="49"/>
      <c r="N283" s="49"/>
    </row>
    <row r="284" spans="1:21" ht="18.75" customHeight="1" x14ac:dyDescent="0.25">
      <c r="A284" s="49"/>
      <c r="B284" s="1621" t="s">
        <v>1639</v>
      </c>
      <c r="C284" s="1621"/>
      <c r="D284" s="1621"/>
      <c r="E284" s="137" t="str">
        <f>IF(AND(E278="Yes",E279&lt;&gt;"",B282&lt;&gt;""),"Yes","No")</f>
        <v>No</v>
      </c>
      <c r="F284" s="49"/>
      <c r="G284" s="49"/>
      <c r="H284" s="49"/>
      <c r="I284" s="49"/>
      <c r="J284" s="49"/>
      <c r="K284" s="49"/>
      <c r="L284" s="49"/>
      <c r="M284" s="49"/>
      <c r="N284" s="49"/>
    </row>
    <row r="285" spans="1:21" ht="18" customHeight="1" x14ac:dyDescent="0.25">
      <c r="A285" s="317"/>
      <c r="B285" s="953"/>
      <c r="C285" s="317"/>
      <c r="D285" s="317"/>
      <c r="E285" s="317"/>
      <c r="F285" s="317"/>
      <c r="G285" s="317"/>
      <c r="H285" s="317"/>
      <c r="I285" s="317"/>
      <c r="J285" s="317"/>
      <c r="K285" s="317"/>
      <c r="L285" s="317"/>
      <c r="M285" s="317"/>
      <c r="N285" s="317"/>
    </row>
    <row r="286" spans="1:21" x14ac:dyDescent="0.25">
      <c r="A286" s="49"/>
      <c r="B286" s="324"/>
      <c r="C286" s="49"/>
      <c r="D286" s="49"/>
      <c r="E286" s="49"/>
      <c r="F286" s="49"/>
      <c r="G286" s="49"/>
      <c r="H286" s="49"/>
      <c r="I286" s="49"/>
      <c r="J286" s="49"/>
      <c r="K286" s="49"/>
      <c r="L286" s="49"/>
      <c r="M286" s="49"/>
      <c r="N286" s="49"/>
    </row>
    <row r="287" spans="1:21" x14ac:dyDescent="0.25">
      <c r="A287" s="49"/>
      <c r="B287" s="761" t="s">
        <v>2096</v>
      </c>
      <c r="C287" s="49"/>
      <c r="D287" s="49"/>
      <c r="E287" s="49"/>
      <c r="F287" s="49"/>
      <c r="G287" s="49"/>
      <c r="H287" s="49"/>
      <c r="I287" s="49"/>
      <c r="J287" s="49"/>
      <c r="K287" s="49"/>
      <c r="L287" s="49"/>
      <c r="M287" s="49"/>
      <c r="N287" s="49"/>
    </row>
    <row r="288" spans="1:21" x14ac:dyDescent="0.25">
      <c r="A288" s="49"/>
      <c r="B288" s="49"/>
      <c r="C288" s="49"/>
      <c r="D288" s="49"/>
      <c r="E288" s="49"/>
      <c r="F288" s="49"/>
      <c r="G288" s="49"/>
      <c r="H288" s="49"/>
      <c r="I288" s="49"/>
      <c r="J288" s="49"/>
      <c r="K288" s="49"/>
      <c r="L288" s="49"/>
      <c r="M288" s="49"/>
      <c r="N288" s="49"/>
      <c r="Q288" s="37"/>
      <c r="R288" s="37"/>
      <c r="S288" s="37"/>
      <c r="T288" s="37"/>
      <c r="U288" s="37"/>
    </row>
    <row r="289" spans="1:22" x14ac:dyDescent="0.25">
      <c r="A289" s="49"/>
      <c r="B289" s="671" t="s">
        <v>2093</v>
      </c>
      <c r="C289" s="49"/>
      <c r="D289" s="49"/>
      <c r="E289" s="49"/>
      <c r="F289" s="49"/>
      <c r="G289" s="49"/>
      <c r="H289" s="49"/>
      <c r="I289" s="49"/>
      <c r="J289" s="49"/>
      <c r="K289" s="49"/>
      <c r="L289" s="49"/>
      <c r="M289" s="49"/>
      <c r="N289" s="49"/>
      <c r="Q289" s="37"/>
      <c r="R289" s="37"/>
      <c r="S289" s="37"/>
      <c r="T289" s="37"/>
      <c r="U289" s="37"/>
    </row>
    <row r="290" spans="1:22" ht="12" customHeight="1" x14ac:dyDescent="0.25">
      <c r="A290" s="49"/>
      <c r="B290" s="126"/>
      <c r="C290" s="49"/>
      <c r="D290" s="49"/>
      <c r="E290" s="49"/>
      <c r="F290" s="49"/>
      <c r="G290" s="49"/>
      <c r="H290" s="49"/>
      <c r="I290" s="49"/>
      <c r="J290" s="49"/>
      <c r="K290" s="49"/>
      <c r="L290" s="49"/>
      <c r="M290" s="49"/>
      <c r="N290" s="49"/>
      <c r="Q290" s="37"/>
      <c r="R290" s="37"/>
      <c r="S290" s="37"/>
      <c r="T290" s="37"/>
      <c r="U290" s="37"/>
    </row>
    <row r="291" spans="1:22" ht="28.5" customHeight="1" x14ac:dyDescent="0.25">
      <c r="A291" s="49"/>
      <c r="B291" s="921" t="s">
        <v>716</v>
      </c>
      <c r="C291" s="922" t="s">
        <v>652</v>
      </c>
      <c r="D291" s="1123" t="s">
        <v>2095</v>
      </c>
      <c r="E291" s="922" t="s">
        <v>2094</v>
      </c>
      <c r="F291" s="1092" t="s">
        <v>89</v>
      </c>
      <c r="G291" s="49"/>
      <c r="H291" s="49"/>
      <c r="I291" s="49"/>
      <c r="J291" s="49"/>
      <c r="K291" s="49"/>
      <c r="L291" s="49"/>
      <c r="M291" s="49"/>
      <c r="N291" s="49"/>
      <c r="O291" s="49"/>
      <c r="R291" s="37"/>
      <c r="S291" s="37"/>
      <c r="T291" s="37"/>
      <c r="U291" s="37"/>
      <c r="V291" s="37"/>
    </row>
    <row r="292" spans="1:22" ht="15.75" customHeight="1" x14ac:dyDescent="0.25">
      <c r="A292" s="49"/>
      <c r="B292" s="919"/>
      <c r="C292" s="928"/>
      <c r="D292" s="1124" t="s">
        <v>62</v>
      </c>
      <c r="E292" s="538"/>
      <c r="F292" s="1091" t="str">
        <f>IFERROR(IF(D292="HVLS fans","Yes",IF(C292/E292&lt;=20,"Yes","No")),"")</f>
        <v/>
      </c>
      <c r="G292" s="49"/>
      <c r="H292" s="49"/>
      <c r="I292" s="49"/>
      <c r="J292" s="49"/>
      <c r="K292" s="49"/>
      <c r="L292" s="49"/>
      <c r="M292" s="49"/>
      <c r="N292" s="49"/>
      <c r="O292" s="49"/>
      <c r="R292" s="37"/>
      <c r="S292" s="37"/>
      <c r="T292" s="37"/>
      <c r="U292" s="37"/>
      <c r="V292" s="37"/>
    </row>
    <row r="293" spans="1:22" ht="15.75" customHeight="1" x14ac:dyDescent="0.25">
      <c r="A293" s="49"/>
      <c r="B293" s="919"/>
      <c r="C293" s="928"/>
      <c r="D293" s="1124" t="s">
        <v>62</v>
      </c>
      <c r="E293" s="538"/>
      <c r="F293" s="1122" t="str">
        <f t="shared" ref="F293:F306" si="31">IFERROR(IF(D293="HVLS fans","Yes",IF(C293/E293&lt;=20,"Yes","No")),"")</f>
        <v/>
      </c>
      <c r="G293" s="49"/>
      <c r="H293" s="49"/>
      <c r="I293" s="49"/>
      <c r="J293" s="49"/>
      <c r="K293" s="49"/>
      <c r="L293" s="49"/>
      <c r="M293" s="49"/>
      <c r="N293" s="49"/>
      <c r="O293" s="49"/>
      <c r="R293" s="37"/>
      <c r="S293" s="37"/>
      <c r="T293" s="37"/>
      <c r="U293" s="37"/>
      <c r="V293" s="37"/>
    </row>
    <row r="294" spans="1:22" ht="15.75" customHeight="1" x14ac:dyDescent="0.25">
      <c r="A294" s="49"/>
      <c r="B294" s="919"/>
      <c r="C294" s="928"/>
      <c r="D294" s="1124" t="s">
        <v>62</v>
      </c>
      <c r="E294" s="538"/>
      <c r="F294" s="1122" t="str">
        <f t="shared" si="31"/>
        <v/>
      </c>
      <c r="G294" s="49"/>
      <c r="H294" s="49"/>
      <c r="I294" s="49"/>
      <c r="J294" s="49"/>
      <c r="K294" s="49"/>
      <c r="L294" s="49"/>
      <c r="M294" s="49"/>
      <c r="N294" s="49"/>
      <c r="O294" s="49"/>
      <c r="R294" s="37"/>
      <c r="S294" s="37"/>
      <c r="T294" s="37"/>
      <c r="U294" s="37"/>
      <c r="V294" s="37"/>
    </row>
    <row r="295" spans="1:22" ht="15.75" customHeight="1" x14ac:dyDescent="0.25">
      <c r="A295" s="49"/>
      <c r="B295" s="919"/>
      <c r="C295" s="928"/>
      <c r="D295" s="1124" t="s">
        <v>62</v>
      </c>
      <c r="E295" s="538"/>
      <c r="F295" s="1122" t="str">
        <f t="shared" si="31"/>
        <v/>
      </c>
      <c r="G295" s="49"/>
      <c r="H295" s="49"/>
      <c r="I295" s="49"/>
      <c r="J295" s="49"/>
      <c r="K295" s="49"/>
      <c r="L295" s="49"/>
      <c r="M295" s="49"/>
      <c r="N295" s="49"/>
      <c r="O295" s="49"/>
      <c r="R295" s="37"/>
      <c r="S295" s="37"/>
      <c r="T295" s="37"/>
      <c r="U295" s="37"/>
      <c r="V295" s="37"/>
    </row>
    <row r="296" spans="1:22" ht="15.75" customHeight="1" x14ac:dyDescent="0.25">
      <c r="A296" s="49"/>
      <c r="B296" s="919"/>
      <c r="C296" s="928"/>
      <c r="D296" s="1124" t="s">
        <v>62</v>
      </c>
      <c r="E296" s="538"/>
      <c r="F296" s="1122" t="str">
        <f t="shared" si="31"/>
        <v/>
      </c>
      <c r="G296" s="49"/>
      <c r="H296" s="49"/>
      <c r="I296" s="49"/>
      <c r="J296" s="49"/>
      <c r="K296" s="49"/>
      <c r="L296" s="49"/>
      <c r="M296" s="49"/>
      <c r="N296" s="49"/>
      <c r="O296" s="49"/>
      <c r="R296" s="37"/>
      <c r="S296" s="37"/>
      <c r="T296" s="37"/>
      <c r="U296" s="37"/>
      <c r="V296" s="37"/>
    </row>
    <row r="297" spans="1:22" ht="15.75" customHeight="1" x14ac:dyDescent="0.25">
      <c r="A297" s="49"/>
      <c r="B297" s="919"/>
      <c r="C297" s="928"/>
      <c r="D297" s="1124" t="s">
        <v>62</v>
      </c>
      <c r="E297" s="538"/>
      <c r="F297" s="1122" t="str">
        <f t="shared" si="31"/>
        <v/>
      </c>
      <c r="G297" s="49"/>
      <c r="H297" s="49"/>
      <c r="I297" s="49"/>
      <c r="J297" s="49"/>
      <c r="K297" s="49"/>
      <c r="L297" s="49"/>
      <c r="M297" s="49"/>
      <c r="N297" s="49"/>
      <c r="O297" s="49"/>
      <c r="R297" s="37"/>
      <c r="S297" s="37"/>
      <c r="T297" s="37"/>
      <c r="U297" s="37"/>
      <c r="V297" s="37"/>
    </row>
    <row r="298" spans="1:22" ht="15.75" customHeight="1" x14ac:dyDescent="0.25">
      <c r="A298" s="49"/>
      <c r="B298" s="919"/>
      <c r="C298" s="928"/>
      <c r="D298" s="1124" t="s">
        <v>62</v>
      </c>
      <c r="E298" s="538"/>
      <c r="F298" s="1122" t="str">
        <f t="shared" si="31"/>
        <v/>
      </c>
      <c r="G298" s="49"/>
      <c r="H298" s="49"/>
      <c r="I298" s="49"/>
      <c r="J298" s="49"/>
      <c r="K298" s="49"/>
      <c r="L298" s="49"/>
      <c r="M298" s="49"/>
      <c r="N298" s="49"/>
      <c r="O298" s="49"/>
      <c r="R298" s="37"/>
      <c r="S298" s="37"/>
      <c r="T298" s="37"/>
      <c r="U298" s="37"/>
      <c r="V298" s="37"/>
    </row>
    <row r="299" spans="1:22" ht="15.75" customHeight="1" x14ac:dyDescent="0.25">
      <c r="A299" s="49"/>
      <c r="B299" s="919"/>
      <c r="C299" s="928"/>
      <c r="D299" s="1124" t="s">
        <v>62</v>
      </c>
      <c r="E299" s="538"/>
      <c r="F299" s="1122" t="str">
        <f t="shared" si="31"/>
        <v/>
      </c>
      <c r="G299" s="49"/>
      <c r="H299" s="49"/>
      <c r="I299" s="49"/>
      <c r="J299" s="49"/>
      <c r="K299" s="49"/>
      <c r="L299" s="49"/>
      <c r="M299" s="49"/>
      <c r="N299" s="49"/>
      <c r="O299" s="49"/>
      <c r="R299" s="37"/>
      <c r="S299" s="37"/>
      <c r="T299" s="37"/>
      <c r="U299" s="37"/>
      <c r="V299" s="37"/>
    </row>
    <row r="300" spans="1:22" ht="15.75" customHeight="1" x14ac:dyDescent="0.25">
      <c r="A300" s="49"/>
      <c r="B300" s="919"/>
      <c r="C300" s="928"/>
      <c r="D300" s="1124" t="s">
        <v>62</v>
      </c>
      <c r="E300" s="538"/>
      <c r="F300" s="1122" t="str">
        <f t="shared" si="31"/>
        <v/>
      </c>
      <c r="G300" s="49"/>
      <c r="H300" s="49"/>
      <c r="I300" s="49"/>
      <c r="J300" s="49"/>
      <c r="K300" s="49"/>
      <c r="L300" s="49"/>
      <c r="M300" s="49"/>
      <c r="N300" s="49"/>
      <c r="O300" s="49"/>
      <c r="R300" s="37"/>
      <c r="S300" s="37"/>
      <c r="T300" s="37"/>
      <c r="U300" s="37"/>
      <c r="V300" s="37"/>
    </row>
    <row r="301" spans="1:22" ht="15.75" customHeight="1" x14ac:dyDescent="0.25">
      <c r="A301" s="49"/>
      <c r="B301" s="919"/>
      <c r="C301" s="928"/>
      <c r="D301" s="1124" t="s">
        <v>62</v>
      </c>
      <c r="E301" s="538"/>
      <c r="F301" s="1122" t="str">
        <f t="shared" si="31"/>
        <v/>
      </c>
      <c r="G301" s="49"/>
      <c r="H301" s="49"/>
      <c r="I301" s="49"/>
      <c r="J301" s="49"/>
      <c r="K301" s="49"/>
      <c r="L301" s="49"/>
      <c r="M301" s="49"/>
      <c r="N301" s="49"/>
      <c r="O301" s="49"/>
      <c r="R301" s="37"/>
      <c r="S301" s="37"/>
      <c r="T301" s="37"/>
      <c r="U301" s="37"/>
      <c r="V301" s="37"/>
    </row>
    <row r="302" spans="1:22" ht="15.75" customHeight="1" x14ac:dyDescent="0.25">
      <c r="A302" s="49"/>
      <c r="B302" s="919"/>
      <c r="C302" s="928"/>
      <c r="D302" s="1124" t="s">
        <v>62</v>
      </c>
      <c r="E302" s="538"/>
      <c r="F302" s="1122" t="str">
        <f t="shared" si="31"/>
        <v/>
      </c>
      <c r="G302" s="49"/>
      <c r="H302" s="49"/>
      <c r="I302" s="49"/>
      <c r="J302" s="49"/>
      <c r="K302" s="49"/>
      <c r="L302" s="49"/>
      <c r="M302" s="49"/>
      <c r="N302" s="49"/>
      <c r="O302" s="49"/>
      <c r="R302" s="37"/>
      <c r="S302" s="37"/>
      <c r="T302" s="37"/>
      <c r="U302" s="37"/>
      <c r="V302" s="37"/>
    </row>
    <row r="303" spans="1:22" ht="15.75" customHeight="1" x14ac:dyDescent="0.25">
      <c r="A303" s="49"/>
      <c r="B303" s="919"/>
      <c r="C303" s="928"/>
      <c r="D303" s="1124" t="s">
        <v>62</v>
      </c>
      <c r="E303" s="538"/>
      <c r="F303" s="1122" t="str">
        <f t="shared" si="31"/>
        <v/>
      </c>
      <c r="G303" s="49"/>
      <c r="H303" s="49"/>
      <c r="I303" s="49"/>
      <c r="J303" s="49"/>
      <c r="K303" s="49"/>
      <c r="L303" s="49"/>
      <c r="M303" s="49"/>
      <c r="N303" s="49"/>
      <c r="O303" s="49"/>
      <c r="R303" s="37"/>
      <c r="S303" s="37"/>
      <c r="T303" s="37"/>
      <c r="U303" s="37"/>
      <c r="V303" s="37"/>
    </row>
    <row r="304" spans="1:22" ht="15.75" customHeight="1" x14ac:dyDescent="0.25">
      <c r="A304" s="49"/>
      <c r="B304" s="919"/>
      <c r="C304" s="928"/>
      <c r="D304" s="1124" t="s">
        <v>62</v>
      </c>
      <c r="E304" s="538"/>
      <c r="F304" s="1122" t="str">
        <f t="shared" si="31"/>
        <v/>
      </c>
      <c r="G304" s="49"/>
      <c r="H304" s="49"/>
      <c r="I304" s="49"/>
      <c r="J304" s="49"/>
      <c r="K304" s="49"/>
      <c r="L304" s="49"/>
      <c r="M304" s="49"/>
      <c r="N304" s="49"/>
      <c r="O304" s="49"/>
      <c r="R304" s="37"/>
      <c r="S304" s="37"/>
      <c r="T304" s="37"/>
      <c r="U304" s="37"/>
      <c r="V304" s="37"/>
    </row>
    <row r="305" spans="1:22" ht="15.75" customHeight="1" x14ac:dyDescent="0.25">
      <c r="A305" s="49"/>
      <c r="B305" s="919"/>
      <c r="C305" s="928"/>
      <c r="D305" s="1124" t="s">
        <v>62</v>
      </c>
      <c r="E305" s="538"/>
      <c r="F305" s="1122" t="str">
        <f t="shared" si="31"/>
        <v/>
      </c>
      <c r="G305" s="49"/>
      <c r="H305" s="49"/>
      <c r="I305" s="49"/>
      <c r="J305" s="49"/>
      <c r="K305" s="49"/>
      <c r="L305" s="49"/>
      <c r="M305" s="49"/>
      <c r="N305" s="49"/>
      <c r="O305" s="49"/>
      <c r="R305" s="37"/>
      <c r="S305" s="37"/>
      <c r="T305" s="37"/>
      <c r="U305" s="37"/>
      <c r="V305" s="37"/>
    </row>
    <row r="306" spans="1:22" ht="15.75" customHeight="1" x14ac:dyDescent="0.25">
      <c r="A306" s="49"/>
      <c r="B306" s="919"/>
      <c r="C306" s="928"/>
      <c r="D306" s="1124" t="s">
        <v>62</v>
      </c>
      <c r="E306" s="538"/>
      <c r="F306" s="1122" t="str">
        <f t="shared" si="31"/>
        <v/>
      </c>
      <c r="G306" s="49"/>
      <c r="H306" s="49"/>
      <c r="I306" s="49"/>
      <c r="J306" s="49"/>
      <c r="K306" s="49"/>
      <c r="L306" s="49"/>
      <c r="M306" s="49"/>
      <c r="N306" s="49"/>
      <c r="O306" s="49"/>
      <c r="R306" s="37"/>
      <c r="S306" s="37"/>
      <c r="T306" s="37"/>
      <c r="U306" s="37"/>
      <c r="V306" s="37"/>
    </row>
    <row r="307" spans="1:22" x14ac:dyDescent="0.25">
      <c r="A307" s="49"/>
      <c r="B307" s="49"/>
      <c r="C307" s="49"/>
      <c r="D307" s="49"/>
      <c r="E307" s="49"/>
      <c r="F307" s="49"/>
      <c r="G307" s="49"/>
      <c r="H307" s="49"/>
      <c r="I307" s="49"/>
      <c r="J307" s="49"/>
      <c r="K307" s="49"/>
      <c r="L307" s="49"/>
      <c r="M307" s="49"/>
      <c r="N307" s="49"/>
      <c r="Q307" s="37"/>
      <c r="R307" s="37"/>
      <c r="S307" s="37"/>
      <c r="T307" s="37"/>
      <c r="U307" s="37"/>
    </row>
    <row r="308" spans="1:22" ht="18" customHeight="1" x14ac:dyDescent="0.25">
      <c r="A308" s="49"/>
      <c r="B308" s="1621" t="s">
        <v>1640</v>
      </c>
      <c r="C308" s="1621"/>
      <c r="D308" s="1621"/>
      <c r="E308" s="137">
        <f>IFERROR(SUMIF(F292:F306,"Yes",C292:C306)/SUM(C292:C306),0)</f>
        <v>0</v>
      </c>
      <c r="F308" s="49"/>
      <c r="G308" s="49"/>
      <c r="H308" s="49"/>
      <c r="I308" s="49"/>
      <c r="J308" s="49"/>
      <c r="K308" s="49"/>
      <c r="L308" s="49"/>
      <c r="M308" s="49"/>
      <c r="N308" s="49"/>
      <c r="Q308" s="37"/>
      <c r="R308" s="37"/>
      <c r="S308" s="37"/>
      <c r="T308" s="37"/>
      <c r="U308" s="37"/>
    </row>
    <row r="309" spans="1:22" ht="19.5" customHeight="1" x14ac:dyDescent="0.25">
      <c r="A309" s="49"/>
      <c r="B309" s="49"/>
      <c r="C309" s="49"/>
      <c r="D309" s="49"/>
      <c r="E309" s="49"/>
      <c r="F309" s="49"/>
      <c r="G309" s="49"/>
      <c r="H309" s="49"/>
      <c r="I309" s="49"/>
      <c r="J309" s="49"/>
      <c r="K309" s="49"/>
      <c r="L309" s="49"/>
      <c r="M309" s="49"/>
      <c r="N309" s="49"/>
      <c r="Q309" s="37"/>
      <c r="R309" s="37"/>
      <c r="S309" s="37"/>
      <c r="T309" s="37"/>
      <c r="U309" s="37"/>
    </row>
    <row r="310" spans="1:22" ht="16.5" customHeight="1" x14ac:dyDescent="0.25">
      <c r="A310" s="1677" t="s">
        <v>97</v>
      </c>
      <c r="B310" s="1677"/>
      <c r="C310" s="1677"/>
      <c r="D310" s="49"/>
      <c r="E310" s="49"/>
      <c r="F310" s="49"/>
      <c r="G310" s="49"/>
      <c r="H310" s="49"/>
      <c r="I310" s="49"/>
      <c r="J310" s="49"/>
      <c r="K310" s="49"/>
      <c r="L310" s="49"/>
      <c r="M310" s="49"/>
      <c r="N310" s="49"/>
      <c r="Q310" s="37"/>
      <c r="R310" s="37"/>
      <c r="S310" s="37"/>
      <c r="T310" s="37"/>
      <c r="U310" s="37"/>
    </row>
    <row r="311" spans="1:22" x14ac:dyDescent="0.25">
      <c r="A311" s="49"/>
      <c r="B311" s="49"/>
      <c r="C311" s="49"/>
      <c r="D311" s="49"/>
      <c r="E311" s="49"/>
      <c r="F311" s="49"/>
      <c r="G311" s="49"/>
      <c r="H311" s="49"/>
      <c r="I311" s="49"/>
      <c r="J311" s="49"/>
      <c r="K311" s="49"/>
      <c r="L311" s="49"/>
      <c r="M311" s="49"/>
      <c r="N311" s="49"/>
      <c r="Q311" s="37"/>
      <c r="R311" s="37"/>
      <c r="S311" s="37"/>
      <c r="T311" s="37"/>
      <c r="U311" s="37"/>
    </row>
    <row r="312" spans="1:22" ht="21" customHeight="1" x14ac:dyDescent="0.25">
      <c r="A312" s="49"/>
      <c r="B312" s="1627" t="s">
        <v>2454</v>
      </c>
      <c r="C312" s="1628"/>
      <c r="D312" s="1628"/>
      <c r="E312" s="1628"/>
      <c r="F312" s="1628"/>
      <c r="G312" s="769" t="s">
        <v>1297</v>
      </c>
      <c r="H312" s="1629" t="s">
        <v>1298</v>
      </c>
      <c r="I312" s="1630"/>
      <c r="J312" s="49"/>
      <c r="K312" s="49"/>
      <c r="L312" s="49"/>
      <c r="M312" s="49"/>
      <c r="N312" s="49"/>
      <c r="Q312" s="37"/>
      <c r="R312" s="37"/>
      <c r="S312" s="37"/>
      <c r="U312" s="37"/>
    </row>
    <row r="313" spans="1:22" ht="30" customHeight="1" x14ac:dyDescent="0.25">
      <c r="A313" s="49"/>
      <c r="B313" s="1644" t="str">
        <f>Submittals!H14</f>
        <v>Select the Submission Stage in Project Information</v>
      </c>
      <c r="C313" s="1645"/>
      <c r="D313" s="1645"/>
      <c r="E313" s="1645"/>
      <c r="F313" s="1646"/>
      <c r="G313" s="423" t="s">
        <v>62</v>
      </c>
      <c r="H313" s="1625"/>
      <c r="I313" s="1626"/>
      <c r="J313" s="49"/>
      <c r="K313" s="49"/>
      <c r="L313" s="49"/>
      <c r="M313" s="49"/>
      <c r="N313" s="49"/>
      <c r="O313" s="37" t="str">
        <f>IF(OR(B313="/",B313="No evidence required at this submission stage"),"Yes",IF(G313="Submitted","Yes","No"))</f>
        <v>No</v>
      </c>
      <c r="P313" t="str">
        <f>IF(E267="Yes",IF(AND(O313="Yes",O314="Yes"),"Yes","No"),"No")</f>
        <v>No</v>
      </c>
      <c r="Q313" s="37"/>
      <c r="R313" s="37"/>
      <c r="S313" s="37"/>
      <c r="U313" s="37"/>
    </row>
    <row r="314" spans="1:22" ht="27" hidden="1" customHeight="1" x14ac:dyDescent="0.25">
      <c r="A314" s="49"/>
      <c r="B314" s="1644" t="str">
        <f>Submittals!H15</f>
        <v>Select the Submission Stage in Project Information</v>
      </c>
      <c r="C314" s="1645"/>
      <c r="D314" s="1645"/>
      <c r="E314" s="1645"/>
      <c r="F314" s="1646"/>
      <c r="G314" s="423" t="s">
        <v>62</v>
      </c>
      <c r="H314" s="1625"/>
      <c r="I314" s="1626"/>
      <c r="J314" s="49"/>
      <c r="K314" s="49"/>
      <c r="L314" s="49"/>
      <c r="M314" s="49"/>
      <c r="N314" s="49"/>
      <c r="O314" s="37" t="str">
        <f t="shared" ref="O314" si="32">IF(OR(B314="/",B314="No evidence required at this submission stage"),"Yes",IF(G314="Submitted","Yes","No"))</f>
        <v>No</v>
      </c>
      <c r="U314" s="37"/>
    </row>
    <row r="315" spans="1:22" ht="15" customHeight="1" x14ac:dyDescent="0.25">
      <c r="A315" s="49"/>
      <c r="B315" s="49"/>
      <c r="C315" s="49"/>
      <c r="D315" s="49"/>
      <c r="E315" s="49"/>
      <c r="F315" s="49"/>
      <c r="G315" s="49"/>
      <c r="H315" s="49"/>
      <c r="I315" s="49"/>
      <c r="J315" s="49"/>
      <c r="K315" s="49"/>
      <c r="L315" s="49"/>
      <c r="M315" s="49"/>
      <c r="N315" s="49"/>
      <c r="O315" s="37"/>
      <c r="U315" s="37"/>
    </row>
    <row r="316" spans="1:22" ht="21" customHeight="1" x14ac:dyDescent="0.25">
      <c r="A316" s="49"/>
      <c r="B316" s="1627" t="s">
        <v>2453</v>
      </c>
      <c r="C316" s="1628"/>
      <c r="D316" s="1628"/>
      <c r="E316" s="1628"/>
      <c r="F316" s="1628"/>
      <c r="G316" s="918" t="s">
        <v>1297</v>
      </c>
      <c r="H316" s="1629" t="s">
        <v>1298</v>
      </c>
      <c r="I316" s="1630"/>
      <c r="J316" s="49"/>
      <c r="K316" s="49"/>
      <c r="L316" s="49"/>
      <c r="M316" s="49"/>
      <c r="N316" s="49"/>
      <c r="O316" s="37"/>
      <c r="U316" s="37"/>
    </row>
    <row r="317" spans="1:22" ht="27" customHeight="1" x14ac:dyDescent="0.25">
      <c r="A317" s="49"/>
      <c r="B317" s="1644" t="str">
        <f>Submittals!H16</f>
        <v>Select the Submission Stage in Project Information</v>
      </c>
      <c r="C317" s="1645"/>
      <c r="D317" s="1645"/>
      <c r="E317" s="1645"/>
      <c r="F317" s="1646"/>
      <c r="G317" s="919" t="s">
        <v>62</v>
      </c>
      <c r="H317" s="1625"/>
      <c r="I317" s="1626"/>
      <c r="J317" s="49"/>
      <c r="K317" s="49"/>
      <c r="L317" s="49"/>
      <c r="M317" s="49"/>
      <c r="N317" s="49"/>
      <c r="O317" s="37" t="str">
        <f>IF(OR(B317="/",B317="No evidence required at this submission stage"),"Yes",IF(G317="Submitted","Yes","No"))</f>
        <v>No</v>
      </c>
      <c r="P317" t="str">
        <f>IF(E284="Yes",IF(AND(O317="Yes",O318="Yes"),"Yes","No"),"No")</f>
        <v>No</v>
      </c>
      <c r="U317" s="37"/>
    </row>
    <row r="318" spans="1:22" ht="27" hidden="1" customHeight="1" x14ac:dyDescent="0.25">
      <c r="A318" s="49"/>
      <c r="B318" s="1644" t="str">
        <f>Submittals!H17</f>
        <v>Select the Submission Stage in Project Information</v>
      </c>
      <c r="C318" s="1645"/>
      <c r="D318" s="1645"/>
      <c r="E318" s="1645"/>
      <c r="F318" s="1646"/>
      <c r="G318" s="919" t="s">
        <v>62</v>
      </c>
      <c r="H318" s="1625"/>
      <c r="I318" s="1626"/>
      <c r="J318" s="49"/>
      <c r="K318" s="49"/>
      <c r="L318" s="49"/>
      <c r="M318" s="49"/>
      <c r="N318" s="49"/>
      <c r="O318" s="37" t="str">
        <f t="shared" ref="O318" si="33">IF(OR(B318="/",B318="No evidence required at this submission stage"),"Yes",IF(G318="Submitted","Yes","No"))</f>
        <v>No</v>
      </c>
      <c r="U318" s="37"/>
    </row>
    <row r="319" spans="1:22" x14ac:dyDescent="0.25">
      <c r="A319" s="49"/>
      <c r="B319" s="49"/>
      <c r="C319" s="49"/>
      <c r="D319" s="49"/>
      <c r="E319" s="49"/>
      <c r="F319" s="49"/>
      <c r="G319" s="49"/>
      <c r="H319" s="49"/>
      <c r="I319" s="49"/>
      <c r="J319" s="49"/>
      <c r="K319" s="49"/>
      <c r="L319" s="49"/>
      <c r="M319" s="49"/>
      <c r="N319" s="49"/>
      <c r="U319" s="37"/>
    </row>
    <row r="320" spans="1:22" ht="21" customHeight="1" x14ac:dyDescent="0.25">
      <c r="A320" s="49"/>
      <c r="B320" s="1627" t="s">
        <v>2452</v>
      </c>
      <c r="C320" s="1628"/>
      <c r="D320" s="1628"/>
      <c r="E320" s="1628"/>
      <c r="F320" s="1628"/>
      <c r="G320" s="918" t="s">
        <v>1297</v>
      </c>
      <c r="H320" s="1629" t="s">
        <v>1298</v>
      </c>
      <c r="I320" s="1630"/>
      <c r="J320" s="49"/>
      <c r="K320" s="49"/>
      <c r="L320" s="49"/>
      <c r="M320" s="49"/>
      <c r="N320" s="49"/>
      <c r="U320" s="37"/>
    </row>
    <row r="321" spans="1:22" ht="27" customHeight="1" x14ac:dyDescent="0.25">
      <c r="A321" s="49"/>
      <c r="B321" s="1644" t="str">
        <f>Submittals!H18</f>
        <v>Select the Submission Stage in Project Information</v>
      </c>
      <c r="C321" s="1645"/>
      <c r="D321" s="1645"/>
      <c r="E321" s="1645"/>
      <c r="F321" s="1646"/>
      <c r="G321" s="919" t="s">
        <v>62</v>
      </c>
      <c r="H321" s="1625"/>
      <c r="I321" s="1626"/>
      <c r="J321" s="49"/>
      <c r="K321" s="49"/>
      <c r="L321" s="49"/>
      <c r="M321" s="49"/>
      <c r="N321" s="49"/>
      <c r="O321" s="37" t="str">
        <f>IF(OR(B321="/",B321="No evidence required at this submission stage"),"Yes",IF(G321="Submitted","Yes","No"))</f>
        <v>No</v>
      </c>
      <c r="P321" t="str">
        <f>IF(E308&gt;=0.5,IF(AND(O321="Yes",O322="Yes"),"Yes","No"),"No")</f>
        <v>No</v>
      </c>
      <c r="U321" s="37"/>
    </row>
    <row r="322" spans="1:22" ht="27" hidden="1" customHeight="1" x14ac:dyDescent="0.25">
      <c r="A322" s="49"/>
      <c r="B322" s="1644" t="str">
        <f>Submittals!H19</f>
        <v>Select the Submission Stage in Project Information</v>
      </c>
      <c r="C322" s="1645"/>
      <c r="D322" s="1645"/>
      <c r="E322" s="1645"/>
      <c r="F322" s="1646"/>
      <c r="G322" s="919" t="s">
        <v>62</v>
      </c>
      <c r="H322" s="1625"/>
      <c r="I322" s="1626"/>
      <c r="J322" s="49"/>
      <c r="K322" s="49"/>
      <c r="L322" s="49"/>
      <c r="M322" s="49"/>
      <c r="N322" s="49"/>
      <c r="O322" s="37" t="str">
        <f t="shared" ref="O322" si="34">IF(OR(B322="/",B322="No evidence required at this submission stage"),"Yes",IF(G322="Submitted","Yes","No"))</f>
        <v>No</v>
      </c>
      <c r="U322" s="37"/>
    </row>
    <row r="323" spans="1:22" ht="18.75" customHeight="1" x14ac:dyDescent="0.25">
      <c r="A323" s="49"/>
      <c r="B323" s="49"/>
      <c r="C323" s="49"/>
      <c r="D323" s="49"/>
      <c r="E323" s="49"/>
      <c r="F323" s="49"/>
      <c r="G323" s="49"/>
      <c r="H323" s="49"/>
      <c r="I323" s="49"/>
      <c r="J323" s="49"/>
      <c r="K323" s="49"/>
      <c r="L323" s="49"/>
      <c r="M323" s="49"/>
      <c r="N323" s="49"/>
      <c r="U323" s="37"/>
    </row>
    <row r="324" spans="1:22" ht="15" customHeight="1" x14ac:dyDescent="0.25">
      <c r="A324" s="1677" t="s">
        <v>8</v>
      </c>
      <c r="B324" s="1677"/>
      <c r="C324" s="1677"/>
      <c r="D324" s="49"/>
      <c r="E324" s="49"/>
      <c r="F324" s="49"/>
      <c r="G324" s="49"/>
      <c r="H324" s="49"/>
      <c r="I324" s="49"/>
      <c r="J324" s="49"/>
      <c r="K324" s="49"/>
      <c r="L324" s="49"/>
      <c r="M324" s="49"/>
      <c r="N324" s="49"/>
      <c r="Q324" s="37"/>
      <c r="R324" s="37"/>
      <c r="S324" s="37"/>
      <c r="U324" s="37"/>
    </row>
    <row r="325" spans="1:22" ht="15" customHeight="1" x14ac:dyDescent="0.25">
      <c r="A325" s="49"/>
      <c r="B325" s="49"/>
      <c r="C325" s="49"/>
      <c r="D325" s="49"/>
      <c r="E325" s="49"/>
      <c r="F325" s="49"/>
      <c r="G325" s="49"/>
      <c r="H325" s="49"/>
      <c r="I325" s="49"/>
      <c r="J325" s="49"/>
      <c r="K325" s="49"/>
      <c r="L325" s="49"/>
      <c r="M325" s="49"/>
      <c r="N325" s="49"/>
      <c r="U325" s="37"/>
    </row>
    <row r="326" spans="1:22" ht="18" customHeight="1" x14ac:dyDescent="0.25">
      <c r="A326" s="49"/>
      <c r="B326" s="110" t="s">
        <v>19</v>
      </c>
      <c r="C326" s="8">
        <f>MIN(2,IF(E267="Yes",1,0)+IF(E284="Yes",1,0)+IF(E308&gt;=0.5,1,0))</f>
        <v>0</v>
      </c>
      <c r="D326" s="49"/>
      <c r="E326" s="49"/>
      <c r="F326" s="49"/>
      <c r="G326" s="49"/>
      <c r="H326" s="49"/>
      <c r="I326" s="49"/>
      <c r="J326" s="49"/>
      <c r="K326" s="49"/>
      <c r="L326" s="49"/>
      <c r="M326" s="49"/>
      <c r="N326" s="49"/>
    </row>
    <row r="327" spans="1:22" ht="18" customHeight="1" x14ac:dyDescent="0.25">
      <c r="A327" s="49"/>
      <c r="B327" s="110" t="s">
        <v>151</v>
      </c>
      <c r="C327" s="7" t="str">
        <f>IF(C326=1,IF(COUNTIF(P313:P321,"Yes")&gt;=1,"Yes","No"),IF(C326=2,IF(COUNTIF(P313:P321,"Yes")&gt;=2,"Yes","No"),"No"))</f>
        <v>No</v>
      </c>
      <c r="D327" s="49"/>
      <c r="E327" s="49"/>
      <c r="F327" s="49"/>
      <c r="G327" s="49"/>
      <c r="H327" s="49"/>
      <c r="I327" s="49"/>
      <c r="J327" s="49"/>
      <c r="K327" s="49"/>
      <c r="L327" s="49"/>
      <c r="M327" s="49"/>
      <c r="N327" s="49"/>
    </row>
    <row r="328" spans="1:22" ht="15" customHeight="1" x14ac:dyDescent="0.25">
      <c r="A328" s="49"/>
      <c r="B328" s="49"/>
      <c r="C328" s="49"/>
      <c r="D328" s="49"/>
      <c r="E328" s="49"/>
      <c r="F328" s="49"/>
      <c r="G328" s="49"/>
      <c r="H328" s="49"/>
      <c r="I328" s="49"/>
      <c r="J328" s="49"/>
      <c r="K328" s="49"/>
      <c r="L328" s="49"/>
      <c r="M328" s="49"/>
      <c r="N328" s="49"/>
    </row>
    <row r="329" spans="1:22" ht="15" hidden="1" customHeight="1" x14ac:dyDescent="0.25"/>
    <row r="330" spans="1:22" ht="14.25" hidden="1" customHeight="1" x14ac:dyDescent="0.25"/>
    <row r="331" spans="1:22" ht="18" hidden="1" customHeight="1" x14ac:dyDescent="0.25"/>
    <row r="332" spans="1:22" ht="18" hidden="1" customHeight="1" x14ac:dyDescent="0.25"/>
    <row r="333" spans="1:22" ht="21" hidden="1" customHeight="1" x14ac:dyDescent="0.25"/>
    <row r="334" spans="1:22" ht="18" hidden="1" customHeight="1" x14ac:dyDescent="0.25"/>
    <row r="335" spans="1:22" ht="11.25" hidden="1" customHeight="1" x14ac:dyDescent="0.25">
      <c r="V335" s="4"/>
    </row>
    <row r="336" spans="1:22" hidden="1" x14ac:dyDescent="0.25"/>
    <row r="337" hidden="1" x14ac:dyDescent="0.25"/>
    <row r="338" ht="15.75" hidden="1" customHeight="1" x14ac:dyDescent="0.25"/>
    <row r="339" ht="19.5" hidden="1" customHeight="1" x14ac:dyDescent="0.25"/>
    <row r="340" hidden="1" x14ac:dyDescent="0.25"/>
    <row r="341" hidden="1" x14ac:dyDescent="0.25"/>
    <row r="342" hidden="1" x14ac:dyDescent="0.25"/>
    <row r="343" hidden="1" x14ac:dyDescent="0.25"/>
    <row r="344" hidden="1" x14ac:dyDescent="0.25"/>
    <row r="345" ht="15" hidden="1" customHeight="1" x14ac:dyDescent="0.25"/>
    <row r="346" ht="15" hidden="1" customHeight="1" x14ac:dyDescent="0.25"/>
    <row r="347" ht="15" hidden="1" customHeight="1" x14ac:dyDescent="0.25"/>
    <row r="348" hidden="1" x14ac:dyDescent="0.25"/>
    <row r="349" hidden="1" x14ac:dyDescent="0.25"/>
    <row r="350" hidden="1" x14ac:dyDescent="0.25"/>
    <row r="351" hidden="1" x14ac:dyDescent="0.25"/>
    <row r="352" hidden="1" x14ac:dyDescent="0.25"/>
    <row r="353" spans="22:22" ht="25.5" hidden="1" customHeight="1" x14ac:dyDescent="0.25"/>
    <row r="354" spans="22:22" ht="25.5" hidden="1" customHeight="1" x14ac:dyDescent="0.25"/>
    <row r="355" spans="22:22" hidden="1" x14ac:dyDescent="0.25"/>
    <row r="356" spans="22:22" hidden="1" x14ac:dyDescent="0.25"/>
    <row r="357" spans="22:22" hidden="1" x14ac:dyDescent="0.25"/>
    <row r="358" spans="22:22" ht="15" hidden="1" customHeight="1" x14ac:dyDescent="0.25">
      <c r="V358" s="4"/>
    </row>
    <row r="359" spans="22:22" hidden="1" x14ac:dyDescent="0.25"/>
    <row r="360" spans="22:22" ht="28.5" hidden="1" customHeight="1" x14ac:dyDescent="0.25"/>
    <row r="361" spans="22:22" ht="21" hidden="1" customHeight="1" x14ac:dyDescent="0.25"/>
    <row r="362" spans="22:22" ht="21" hidden="1" customHeight="1" x14ac:dyDescent="0.25"/>
    <row r="363" spans="22:22" ht="21" hidden="1" customHeight="1" x14ac:dyDescent="0.25"/>
    <row r="364" spans="22:22" ht="21" hidden="1" customHeight="1" x14ac:dyDescent="0.25"/>
    <row r="365" spans="22:22" ht="21" hidden="1" customHeight="1" x14ac:dyDescent="0.25"/>
    <row r="366" spans="22:22" ht="21" hidden="1" customHeight="1" x14ac:dyDescent="0.25"/>
    <row r="367" spans="22:22" ht="21" hidden="1" customHeight="1" x14ac:dyDescent="0.25"/>
    <row r="368" spans="22:22" ht="21" hidden="1" customHeight="1" x14ac:dyDescent="0.25"/>
    <row r="369" spans="1:21" ht="21" hidden="1" customHeight="1" x14ac:dyDescent="0.25"/>
    <row r="370" spans="1:21" ht="21" hidden="1" customHeight="1" x14ac:dyDescent="0.25"/>
    <row r="371" spans="1:21" hidden="1" x14ac:dyDescent="0.25"/>
    <row r="372" spans="1:21" hidden="1" x14ac:dyDescent="0.25"/>
    <row r="373" spans="1:21" ht="18" hidden="1" customHeight="1" x14ac:dyDescent="0.25"/>
    <row r="374" spans="1:21" ht="18" hidden="1" customHeight="1" x14ac:dyDescent="0.25"/>
    <row r="375" spans="1:21" hidden="1" x14ac:dyDescent="0.25"/>
    <row r="376" spans="1:21" s="37" customFormat="1" ht="15" hidden="1" customHeight="1" x14ac:dyDescent="0.25">
      <c r="A376"/>
      <c r="B376"/>
      <c r="C376"/>
      <c r="D376"/>
      <c r="E376"/>
      <c r="F376"/>
      <c r="G376"/>
      <c r="H376"/>
      <c r="I376"/>
      <c r="J376"/>
      <c r="K376"/>
      <c r="L376"/>
      <c r="M376"/>
      <c r="N376"/>
      <c r="O376"/>
      <c r="P376"/>
      <c r="Q376"/>
      <c r="R376"/>
      <c r="S376"/>
      <c r="T376"/>
      <c r="U376"/>
    </row>
    <row r="377" spans="1:21" s="37" customFormat="1" ht="12.75" hidden="1" customHeight="1" x14ac:dyDescent="0.25">
      <c r="A377"/>
      <c r="B377"/>
      <c r="C377"/>
      <c r="D377"/>
      <c r="E377"/>
      <c r="F377"/>
      <c r="G377"/>
      <c r="H377"/>
      <c r="I377"/>
      <c r="J377"/>
      <c r="K377"/>
      <c r="L377"/>
      <c r="M377"/>
      <c r="N377"/>
      <c r="O377"/>
      <c r="P377"/>
      <c r="Q377"/>
      <c r="R377"/>
      <c r="S377"/>
      <c r="T377"/>
      <c r="U377"/>
    </row>
    <row r="378" spans="1:21" s="37" customFormat="1" ht="15" hidden="1" customHeight="1" x14ac:dyDescent="0.25">
      <c r="A378"/>
      <c r="B378"/>
      <c r="C378"/>
      <c r="D378"/>
      <c r="E378"/>
      <c r="F378"/>
      <c r="G378"/>
      <c r="H378"/>
      <c r="I378"/>
      <c r="J378"/>
      <c r="K378"/>
      <c r="L378"/>
      <c r="M378"/>
      <c r="N378"/>
      <c r="O378"/>
      <c r="P378"/>
      <c r="Q378"/>
      <c r="R378"/>
      <c r="S378"/>
      <c r="T378"/>
      <c r="U378"/>
    </row>
    <row r="379" spans="1:21" s="37" customFormat="1" ht="27" hidden="1" customHeight="1" x14ac:dyDescent="0.25">
      <c r="A379"/>
      <c r="B379"/>
      <c r="C379"/>
      <c r="D379"/>
      <c r="E379"/>
      <c r="F379"/>
      <c r="G379"/>
      <c r="H379"/>
      <c r="I379"/>
      <c r="J379"/>
      <c r="K379"/>
      <c r="L379"/>
      <c r="M379"/>
      <c r="N379"/>
      <c r="O379"/>
      <c r="P379"/>
      <c r="Q379"/>
      <c r="R379"/>
      <c r="S379"/>
      <c r="T379"/>
      <c r="U379"/>
    </row>
    <row r="380" spans="1:21" ht="28.5" hidden="1" customHeight="1" x14ac:dyDescent="0.25"/>
    <row r="381" spans="1:21" ht="14.25" hidden="1" customHeight="1" x14ac:dyDescent="0.25"/>
    <row r="382" spans="1:21" ht="15" hidden="1" customHeight="1" x14ac:dyDescent="0.25"/>
    <row r="383" spans="1:21" ht="14.25" hidden="1" customHeight="1" x14ac:dyDescent="0.25"/>
    <row r="384" spans="1:21" ht="18" hidden="1" customHeight="1" x14ac:dyDescent="0.25"/>
    <row r="385" ht="18" hidden="1" customHeight="1" x14ac:dyDescent="0.25"/>
    <row r="386" ht="14.25" hidden="1" customHeight="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sheetData>
  <sheetProtection algorithmName="SHA-512" hashValue="zmWPDyEDPqGhNVCHhoOIY32NDWg0UC9GECQTOMZhQv7jZWDm/Muo3efQOBINHlJV0o+Dgni721vmBjeYznBnbA==" saltValue="4Mv3HykzSvXl/Nt3FZRC9A==" spinCount="100000" sheet="1" objects="1" scenarios="1"/>
  <dataConsolidate/>
  <mergeCells count="232">
    <mergeCell ref="A9:N9"/>
    <mergeCell ref="K44:L44"/>
    <mergeCell ref="K45:L45"/>
    <mergeCell ref="K56:L56"/>
    <mergeCell ref="K57:L57"/>
    <mergeCell ref="B180:F180"/>
    <mergeCell ref="B181:F181"/>
    <mergeCell ref="H181:I181"/>
    <mergeCell ref="B130:F130"/>
    <mergeCell ref="H130:I130"/>
    <mergeCell ref="H132:I132"/>
    <mergeCell ref="B154:F154"/>
    <mergeCell ref="B152:F152"/>
    <mergeCell ref="B175:C175"/>
    <mergeCell ref="B153:F153"/>
    <mergeCell ref="B125:D125"/>
    <mergeCell ref="G124:I124"/>
    <mergeCell ref="G125:I125"/>
    <mergeCell ref="B131:F131"/>
    <mergeCell ref="B133:F133"/>
    <mergeCell ref="B132:F132"/>
    <mergeCell ref="A140:N140"/>
    <mergeCell ref="B17:F17"/>
    <mergeCell ref="B24:K24"/>
    <mergeCell ref="I2:M4"/>
    <mergeCell ref="B11:F11"/>
    <mergeCell ref="B16:F16"/>
    <mergeCell ref="B13:F13"/>
    <mergeCell ref="B14:F14"/>
    <mergeCell ref="B12:F12"/>
    <mergeCell ref="B15:F15"/>
    <mergeCell ref="L121:M121"/>
    <mergeCell ref="A5:N7"/>
    <mergeCell ref="L115:M115"/>
    <mergeCell ref="L116:M116"/>
    <mergeCell ref="L117:M117"/>
    <mergeCell ref="L118:M118"/>
    <mergeCell ref="L120:M120"/>
    <mergeCell ref="L119:M119"/>
    <mergeCell ref="L114:M114"/>
    <mergeCell ref="B39:D39"/>
    <mergeCell ref="K41:L41"/>
    <mergeCell ref="K42:L42"/>
    <mergeCell ref="K43:L43"/>
    <mergeCell ref="K58:L58"/>
    <mergeCell ref="K59:L59"/>
    <mergeCell ref="K60:L60"/>
    <mergeCell ref="K61:L61"/>
    <mergeCell ref="A19:N19"/>
    <mergeCell ref="B64:D64"/>
    <mergeCell ref="J111:K111"/>
    <mergeCell ref="J112:K112"/>
    <mergeCell ref="J113:K113"/>
    <mergeCell ref="B198:C198"/>
    <mergeCell ref="B199:C199"/>
    <mergeCell ref="A190:C190"/>
    <mergeCell ref="A135:C135"/>
    <mergeCell ref="F198:G198"/>
    <mergeCell ref="F199:G199"/>
    <mergeCell ref="B179:F179"/>
    <mergeCell ref="H179:I179"/>
    <mergeCell ref="H180:I180"/>
    <mergeCell ref="B69:F69"/>
    <mergeCell ref="C158:D158"/>
    <mergeCell ref="C159:D159"/>
    <mergeCell ref="A188:N188"/>
    <mergeCell ref="H131:I131"/>
    <mergeCell ref="G85:M85"/>
    <mergeCell ref="A142:C142"/>
    <mergeCell ref="B148:J148"/>
    <mergeCell ref="J116:K116"/>
    <mergeCell ref="L113:M113"/>
    <mergeCell ref="E170:F170"/>
    <mergeCell ref="E171:F171"/>
    <mergeCell ref="E172:F172"/>
    <mergeCell ref="E173:F173"/>
    <mergeCell ref="C170:D170"/>
    <mergeCell ref="L112:M112"/>
    <mergeCell ref="A85:F85"/>
    <mergeCell ref="J117:K117"/>
    <mergeCell ref="J118:K118"/>
    <mergeCell ref="J115:K115"/>
    <mergeCell ref="J119:K119"/>
    <mergeCell ref="C173:D173"/>
    <mergeCell ref="C160:D160"/>
    <mergeCell ref="C161:D161"/>
    <mergeCell ref="C171:D171"/>
    <mergeCell ref="C172:D172"/>
    <mergeCell ref="A324:C324"/>
    <mergeCell ref="A257:C257"/>
    <mergeCell ref="A310:C310"/>
    <mergeCell ref="A240:C240"/>
    <mergeCell ref="A250:C250"/>
    <mergeCell ref="B243:F243"/>
    <mergeCell ref="B244:F244"/>
    <mergeCell ref="B313:F313"/>
    <mergeCell ref="B314:F314"/>
    <mergeCell ref="B242:F242"/>
    <mergeCell ref="B312:F312"/>
    <mergeCell ref="A255:N255"/>
    <mergeCell ref="B246:F246"/>
    <mergeCell ref="H246:I246"/>
    <mergeCell ref="B247:F247"/>
    <mergeCell ref="H247:I247"/>
    <mergeCell ref="E279:F279"/>
    <mergeCell ref="B322:F322"/>
    <mergeCell ref="H322:I322"/>
    <mergeCell ref="B316:F316"/>
    <mergeCell ref="H316:I316"/>
    <mergeCell ref="B317:F317"/>
    <mergeCell ref="H317:I317"/>
    <mergeCell ref="B318:F318"/>
    <mergeCell ref="F200:G200"/>
    <mergeCell ref="D205:E205"/>
    <mergeCell ref="D206:E206"/>
    <mergeCell ref="D207:E207"/>
    <mergeCell ref="D208:E208"/>
    <mergeCell ref="B200:C200"/>
    <mergeCell ref="D200:E200"/>
    <mergeCell ref="F205:G205"/>
    <mergeCell ref="F207:G207"/>
    <mergeCell ref="F204:G204"/>
    <mergeCell ref="F208:G208"/>
    <mergeCell ref="B201:C201"/>
    <mergeCell ref="D201:E201"/>
    <mergeCell ref="F201:G201"/>
    <mergeCell ref="B202:C202"/>
    <mergeCell ref="D202:E202"/>
    <mergeCell ref="F202:G202"/>
    <mergeCell ref="B203:C203"/>
    <mergeCell ref="B204:C204"/>
    <mergeCell ref="D204:E204"/>
    <mergeCell ref="B205:C205"/>
    <mergeCell ref="B206:C206"/>
    <mergeCell ref="B208:C208"/>
    <mergeCell ref="B207:C207"/>
    <mergeCell ref="D198:E198"/>
    <mergeCell ref="D199:E199"/>
    <mergeCell ref="B68:F68"/>
    <mergeCell ref="H68:I68"/>
    <mergeCell ref="H69:I69"/>
    <mergeCell ref="H70:I70"/>
    <mergeCell ref="A77:N77"/>
    <mergeCell ref="B70:F70"/>
    <mergeCell ref="A177:C177"/>
    <mergeCell ref="A183:C183"/>
    <mergeCell ref="J114:K114"/>
    <mergeCell ref="J120:K120"/>
    <mergeCell ref="B124:D124"/>
    <mergeCell ref="H133:I133"/>
    <mergeCell ref="G126:I126"/>
    <mergeCell ref="B126:D126"/>
    <mergeCell ref="J121:K121"/>
    <mergeCell ref="C162:D162"/>
    <mergeCell ref="C168:D168"/>
    <mergeCell ref="E158:F158"/>
    <mergeCell ref="E159:F159"/>
    <mergeCell ref="E160:F160"/>
    <mergeCell ref="E161:F161"/>
    <mergeCell ref="E162:F162"/>
    <mergeCell ref="E225:F225"/>
    <mergeCell ref="E226:F226"/>
    <mergeCell ref="E233:F233"/>
    <mergeCell ref="E234:F234"/>
    <mergeCell ref="E227:F227"/>
    <mergeCell ref="E228:F228"/>
    <mergeCell ref="E229:F229"/>
    <mergeCell ref="E230:F230"/>
    <mergeCell ref="D203:E203"/>
    <mergeCell ref="F203:G203"/>
    <mergeCell ref="F206:G206"/>
    <mergeCell ref="B210:D210"/>
    <mergeCell ref="B214:K214"/>
    <mergeCell ref="B219:K219"/>
    <mergeCell ref="B217:K217"/>
    <mergeCell ref="B218:K218"/>
    <mergeCell ref="B216:K216"/>
    <mergeCell ref="B215:K215"/>
    <mergeCell ref="B221:K221"/>
    <mergeCell ref="E231:F231"/>
    <mergeCell ref="E232:F232"/>
    <mergeCell ref="K55:L55"/>
    <mergeCell ref="E168:F168"/>
    <mergeCell ref="E169:F169"/>
    <mergeCell ref="B33:K33"/>
    <mergeCell ref="K49:L49"/>
    <mergeCell ref="K50:L50"/>
    <mergeCell ref="K51:L51"/>
    <mergeCell ref="K52:L52"/>
    <mergeCell ref="K53:L53"/>
    <mergeCell ref="B321:F321"/>
    <mergeCell ref="H321:I321"/>
    <mergeCell ref="B248:F248"/>
    <mergeCell ref="H248:I248"/>
    <mergeCell ref="H242:I242"/>
    <mergeCell ref="H243:I243"/>
    <mergeCell ref="H244:I244"/>
    <mergeCell ref="H312:I312"/>
    <mergeCell ref="H313:I313"/>
    <mergeCell ref="H314:I314"/>
    <mergeCell ref="B281:K281"/>
    <mergeCell ref="E278:F278"/>
    <mergeCell ref="B308:D308"/>
    <mergeCell ref="B272:H272"/>
    <mergeCell ref="B273:H273"/>
    <mergeCell ref="B274:H274"/>
    <mergeCell ref="B282:K282"/>
    <mergeCell ref="B261:K261"/>
    <mergeCell ref="A1:N1"/>
    <mergeCell ref="E235:F235"/>
    <mergeCell ref="B265:F265"/>
    <mergeCell ref="B267:D267"/>
    <mergeCell ref="B284:D284"/>
    <mergeCell ref="B278:D278"/>
    <mergeCell ref="B279:D279"/>
    <mergeCell ref="H318:I318"/>
    <mergeCell ref="B320:F320"/>
    <mergeCell ref="H320:I320"/>
    <mergeCell ref="B238:D238"/>
    <mergeCell ref="B26:K26"/>
    <mergeCell ref="B27:K27"/>
    <mergeCell ref="B28:K28"/>
    <mergeCell ref="B29:K29"/>
    <mergeCell ref="B30:K30"/>
    <mergeCell ref="B31:K31"/>
    <mergeCell ref="B34:K34"/>
    <mergeCell ref="B35:K35"/>
    <mergeCell ref="C169:D169"/>
    <mergeCell ref="K46:L46"/>
    <mergeCell ref="K47:L47"/>
    <mergeCell ref="K48:L48"/>
    <mergeCell ref="K54:L54"/>
  </mergeCells>
  <conditionalFormatting sqref="H180:I181">
    <cfRule type="expression" dxfId="620" priority="14">
      <formula>$B180="No evidence required at this submission stage"</formula>
    </cfRule>
  </conditionalFormatting>
  <conditionalFormatting sqref="G131:G133">
    <cfRule type="expression" dxfId="619" priority="17">
      <formula>$B131="No evidence required at this submission stage"</formula>
    </cfRule>
  </conditionalFormatting>
  <conditionalFormatting sqref="G180:G181">
    <cfRule type="expression" dxfId="618" priority="16">
      <formula>$B180="No evidence required at this submission stage"</formula>
    </cfRule>
  </conditionalFormatting>
  <conditionalFormatting sqref="G243:I244">
    <cfRule type="expression" dxfId="617" priority="15">
      <formula>$B243="No evidence required at this submission stage"</formula>
    </cfRule>
  </conditionalFormatting>
  <conditionalFormatting sqref="H131:I131 H133:I133">
    <cfRule type="expression" dxfId="616" priority="13">
      <formula>$B131="No evidence required at this submission stage"</formula>
    </cfRule>
  </conditionalFormatting>
  <conditionalFormatting sqref="H132:I132">
    <cfRule type="expression" dxfId="615" priority="11">
      <formula>$B132="No evidence required at this submission stage"</formula>
    </cfRule>
  </conditionalFormatting>
  <conditionalFormatting sqref="G247:I248">
    <cfRule type="expression" dxfId="614" priority="6">
      <formula>$B247="No evidence required at this submission stage"</formula>
    </cfRule>
  </conditionalFormatting>
  <conditionalFormatting sqref="G42:J61">
    <cfRule type="expression" dxfId="613" priority="5">
      <formula>$E$39="Yes"</formula>
    </cfRule>
  </conditionalFormatting>
  <conditionalFormatting sqref="G69:I70">
    <cfRule type="expression" dxfId="612" priority="1">
      <formula>$B69="/"</formula>
    </cfRule>
    <cfRule type="expression" dxfId="611" priority="2">
      <formula>$B69="No evidence required at this submission stage"</formula>
    </cfRule>
  </conditionalFormatting>
  <dataValidations xWindow="368" yWindow="517" count="22">
    <dataValidation type="list" allowBlank="1" showInputMessage="1" showErrorMessage="1" sqref="G243:G244 G321:G322 G180:G181 G131:G133 G313:G314 G317:G318 G69:G70 G247">
      <formula1>"Select,Submitted,Not submitted"</formula1>
    </dataValidation>
    <dataValidation allowBlank="1" showInputMessage="1" showErrorMessage="1" prompt="Name of the HVAC systems " sqref="B199:C208"/>
    <dataValidation type="list" allowBlank="1" showInputMessage="1" showErrorMessage="1" sqref="D199:E208">
      <formula1>"Select,VRV/VRF systems, VAV systems,VSD on chiller plant equipment,Variable speed compressors,None"</formula1>
    </dataValidation>
    <dataValidation allowBlank="1" showInputMessage="1" showErrorMessage="1" prompt="Details on the variable speed control strategy employed" sqref="F199:G208"/>
    <dataValidation type="list" allowBlank="1" showInputMessage="1" showErrorMessage="1" sqref="E278:F278 D226:D235 E39 G42:G61">
      <formula1>"Select,Yes,No"</formula1>
    </dataValidation>
    <dataValidation type="list" allowBlank="1" showInputMessage="1" showErrorMessage="1" prompt="Select 'N/A' if the interior space does not have more than one solar exposure." sqref="G265 G152">
      <formula1>"Select,Yes,No,N/A"</formula1>
    </dataValidation>
    <dataValidation allowBlank="1" showInputMessage="1" showErrorMessage="1" prompt="Enter the name of the occupied room" sqref="B292:B306 B226:B235 B42:B61"/>
    <dataValidation type="list" allowBlank="1" showInputMessage="1" showErrorMessage="1" sqref="E226:F235">
      <formula1>$O$215:$O$219</formula1>
    </dataValidation>
    <dataValidation allowBlank="1" showInputMessage="1" showErrorMessage="1" prompt="Enter the cooling capacity of the air-conditioning unit at rating conditions." sqref="G112:G121"/>
    <dataValidation type="list" allowBlank="1" showInputMessage="1" showErrorMessage="1" sqref="D112:D121">
      <formula1>type_AC</formula1>
    </dataValidation>
    <dataValidation allowBlank="1" showInputMessage="1" showErrorMessage="1" prompt="An interior space without direct openings to the outdoors can be naturally ventilated through adjoining rooms if the unobstructed openings between the rooms are at least 8% of the floor area (with a minimum of 2.3 m2)" sqref="J41"/>
    <dataValidation allowBlank="1" showInputMessage="1" showErrorMessage="1" prompt="Distance between the supply and exhaust openings should not be more than 15 meters" sqref="I41"/>
    <dataValidation allowBlank="1" showInputMessage="1" showErrorMessage="1" prompt="Example: _x000a_4 openings: 1 opening of 2 m2, 1 opening of 3m2 and 2 openings of 2.5 m2_x000a_Write information as follows:_x000a_&quot;1 OP1 - 2 m2_x000a_1 OP2 - 3 m2_x000a_2 OP3 - 2.5 m2&quot;" sqref="D41:D61"/>
    <dataValidation type="list" allowBlank="1" showInputMessage="1" showErrorMessage="1" sqref="G153:G154">
      <formula1>"Select,Yes,No,N/A"</formula1>
    </dataValidation>
    <dataValidation allowBlank="1" showInputMessage="1" showErrorMessage="1" prompt="Enter the name of the control zone" sqref="B159:B173"/>
    <dataValidation allowBlank="1" showInputMessage="1" showErrorMessage="1" prompt="List of rooms included in the control zone" sqref="C159:D173"/>
    <dataValidation type="list" allowBlank="1" showInputMessage="1" showErrorMessage="1" prompt="Direct and unobstructed route between the windward inlet and leeward outlet openings (direct path to the outside)." sqref="H41:H61">
      <formula1>"Select,Yes,No"</formula1>
    </dataValidation>
    <dataValidation allowBlank="1" showInputMessage="1" showErrorMessage="1" prompt="Direct and unobstructed route between the windward inlet and leeward outlet openings (direct path to the outside)." sqref="G41"/>
    <dataValidation type="list" allowBlank="1" showInputMessage="1" showErrorMessage="1" prompt="An interior space without direct openings to the outdoors can be naturally ventilated through adjoining rooms if the unobstructed openings between the rooms are at least 8% of the floor area (with a minimum of 2.3 m2)" sqref="J42:J61">
      <formula1>"Select,Yes,No"</formula1>
    </dataValidation>
    <dataValidation allowBlank="1" showInputMessage="1" showErrorMessage="1" prompt="Schedule, occupancy sensor, temperature sensor, etc." sqref="E158:E173"/>
    <dataValidation type="list" allowBlank="1" showInputMessage="1" showErrorMessage="1" sqref="D292:D306">
      <formula1>"Select, normal fans, HVLS fans"</formula1>
    </dataValidation>
    <dataValidation type="list" allowBlank="1" showInputMessage="1" showErrorMessage="1" sqref="G248">
      <formula1>"Select,Submitted,Not submitted,N/A"</formula1>
    </dataValidation>
  </dataValidations>
  <hyperlinks>
    <hyperlink ref="N2" location="'E-2 Artificial Lighting'!B3" tooltip="E-2" display="E-2"/>
    <hyperlink ref="N4" location="'E-4 Energy Monitoring'!B3" tooltip="E-4" display="E-4"/>
    <hyperlink ref="N3" location="'E-3 Energy Efficient Appliances'!B3" tooltip="E-3" display="E-3"/>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8AB27"/>
  </sheetPr>
  <dimension ref="A1:P342"/>
  <sheetViews>
    <sheetView showGridLines="0" showRowColHeaders="0" zoomScaleNormal="100" workbookViewId="0">
      <pane ySplit="8" topLeftCell="A9" activePane="bottomLeft" state="frozen"/>
      <selection activeCell="D61" sqref="D61"/>
      <selection pane="bottomLeft" activeCell="A9" sqref="A9:K9"/>
    </sheetView>
  </sheetViews>
  <sheetFormatPr defaultColWidth="0" defaultRowHeight="15" zeroHeight="1" x14ac:dyDescent="0.25"/>
  <cols>
    <col min="1" max="1" width="4.140625" style="37" customWidth="1"/>
    <col min="2" max="5" width="20.7109375" style="37" customWidth="1"/>
    <col min="6" max="6" width="18.42578125" style="37" customWidth="1"/>
    <col min="7" max="7" width="21.28515625" style="37" customWidth="1"/>
    <col min="8" max="8" width="22.7109375" style="37" customWidth="1"/>
    <col min="9" max="9" width="13.140625" style="37" customWidth="1"/>
    <col min="10" max="10" width="13.85546875" style="37" customWidth="1"/>
    <col min="11" max="11" width="8.7109375" style="37" customWidth="1"/>
    <col min="12" max="12" width="14.140625" style="37" hidden="1" customWidth="1"/>
    <col min="13" max="16384" width="9.140625" style="37" hidden="1"/>
  </cols>
  <sheetData>
    <row r="1" spans="1:12" ht="25.5" customHeight="1" x14ac:dyDescent="0.25">
      <c r="A1" s="1617" t="s">
        <v>302</v>
      </c>
      <c r="B1" s="1617"/>
      <c r="C1" s="1617"/>
      <c r="D1" s="1617"/>
      <c r="E1" s="1617"/>
      <c r="F1" s="1617"/>
      <c r="G1" s="1617"/>
      <c r="H1" s="1617"/>
      <c r="I1" s="1617"/>
      <c r="J1" s="1617"/>
      <c r="K1" s="1617"/>
    </row>
    <row r="2" spans="1:12" ht="15" customHeight="1" x14ac:dyDescent="0.25">
      <c r="A2" s="49"/>
      <c r="B2" s="49"/>
      <c r="C2" s="49"/>
      <c r="D2" s="49"/>
      <c r="E2" s="49"/>
      <c r="F2" s="48"/>
      <c r="G2" s="48"/>
      <c r="H2" s="1694" t="s">
        <v>1700</v>
      </c>
      <c r="I2" s="1694"/>
      <c r="J2" s="1694"/>
      <c r="K2" s="131" t="s">
        <v>22</v>
      </c>
    </row>
    <row r="3" spans="1:12" ht="15" customHeight="1" x14ac:dyDescent="0.25">
      <c r="A3" s="49"/>
      <c r="B3" s="49"/>
      <c r="C3" s="49"/>
      <c r="D3" s="49"/>
      <c r="E3" s="49"/>
      <c r="F3" s="48"/>
      <c r="G3" s="48"/>
      <c r="H3" s="1694"/>
      <c r="I3" s="1694"/>
      <c r="J3" s="1694"/>
      <c r="K3" s="131" t="s">
        <v>25</v>
      </c>
    </row>
    <row r="4" spans="1:12" ht="15" customHeight="1" x14ac:dyDescent="0.25">
      <c r="A4" s="49"/>
      <c r="B4" s="49"/>
      <c r="C4" s="49"/>
      <c r="D4" s="49"/>
      <c r="E4" s="49"/>
      <c r="F4" s="48"/>
      <c r="G4" s="48"/>
      <c r="H4" s="1695"/>
      <c r="I4" s="1695"/>
      <c r="J4" s="1695"/>
      <c r="K4" s="131" t="s">
        <v>26</v>
      </c>
    </row>
    <row r="5" spans="1:12" ht="20.25" customHeight="1" x14ac:dyDescent="0.25">
      <c r="A5" s="1704" t="s">
        <v>2701</v>
      </c>
      <c r="B5" s="1705"/>
      <c r="C5" s="1705"/>
      <c r="D5" s="1705"/>
      <c r="E5" s="1705"/>
      <c r="F5" s="1705"/>
      <c r="G5" s="1705"/>
      <c r="H5" s="1705"/>
      <c r="I5" s="1705"/>
      <c r="J5" s="1705"/>
      <c r="K5" s="1706"/>
    </row>
    <row r="6" spans="1:12" ht="20.25" customHeight="1" x14ac:dyDescent="0.25">
      <c r="A6" s="1707"/>
      <c r="B6" s="1708"/>
      <c r="C6" s="1708"/>
      <c r="D6" s="1708"/>
      <c r="E6" s="1708"/>
      <c r="F6" s="1708"/>
      <c r="G6" s="1708"/>
      <c r="H6" s="1708"/>
      <c r="I6" s="1708"/>
      <c r="J6" s="1708"/>
      <c r="K6" s="1709"/>
    </row>
    <row r="7" spans="1:12" ht="20.25" customHeight="1" x14ac:dyDescent="0.25">
      <c r="A7" s="1710"/>
      <c r="B7" s="1711"/>
      <c r="C7" s="1711"/>
      <c r="D7" s="1711"/>
      <c r="E7" s="1711"/>
      <c r="F7" s="1711"/>
      <c r="G7" s="1711"/>
      <c r="H7" s="1711"/>
      <c r="I7" s="1711"/>
      <c r="J7" s="1711"/>
      <c r="K7" s="1712"/>
    </row>
    <row r="8" spans="1:12" ht="10.5" customHeight="1" x14ac:dyDescent="0.25">
      <c r="A8" s="48"/>
      <c r="B8" s="49"/>
      <c r="C8" s="49"/>
      <c r="D8" s="49"/>
      <c r="E8" s="49"/>
      <c r="F8" s="48"/>
      <c r="G8" s="48"/>
      <c r="H8" s="48"/>
      <c r="I8" s="48"/>
      <c r="J8" s="48"/>
      <c r="K8" s="48"/>
    </row>
    <row r="9" spans="1:12" ht="18" customHeight="1" x14ac:dyDescent="0.25">
      <c r="A9" s="1676" t="s">
        <v>95</v>
      </c>
      <c r="B9" s="1676"/>
      <c r="C9" s="1676"/>
      <c r="D9" s="1676"/>
      <c r="E9" s="1676"/>
      <c r="F9" s="1676"/>
      <c r="G9" s="1676"/>
      <c r="H9" s="1676"/>
      <c r="I9" s="1676"/>
      <c r="J9" s="1676"/>
      <c r="K9" s="1676"/>
    </row>
    <row r="10" spans="1:12" x14ac:dyDescent="0.25">
      <c r="A10" s="48"/>
      <c r="B10" s="49"/>
      <c r="C10" s="49"/>
      <c r="D10" s="49"/>
      <c r="E10" s="49"/>
      <c r="F10" s="48"/>
      <c r="G10" s="48"/>
      <c r="H10" s="48"/>
      <c r="I10" s="48"/>
      <c r="J10" s="48"/>
      <c r="K10" s="48"/>
    </row>
    <row r="11" spans="1:12" ht="18" customHeight="1" x14ac:dyDescent="0.25">
      <c r="A11" s="48"/>
      <c r="B11" s="1696" t="s">
        <v>96</v>
      </c>
      <c r="C11" s="1697"/>
      <c r="D11" s="1697"/>
      <c r="E11" s="1697"/>
      <c r="F11" s="282" t="s">
        <v>75</v>
      </c>
      <c r="G11" s="282" t="s">
        <v>19</v>
      </c>
      <c r="H11" s="74" t="s">
        <v>151</v>
      </c>
      <c r="I11" s="48"/>
      <c r="J11" s="48"/>
      <c r="K11" s="48"/>
    </row>
    <row r="12" spans="1:12" ht="52.5" customHeight="1" x14ac:dyDescent="0.25">
      <c r="A12" s="48"/>
      <c r="B12" s="1742" t="s">
        <v>1991</v>
      </c>
      <c r="C12" s="1743"/>
      <c r="D12" s="1743"/>
      <c r="E12" s="1744"/>
      <c r="F12" s="312">
        <v>5</v>
      </c>
      <c r="G12" s="312">
        <f>C90</f>
        <v>0</v>
      </c>
      <c r="H12" s="312" t="str">
        <f>C91</f>
        <v>No</v>
      </c>
      <c r="I12" s="48"/>
      <c r="J12" s="48"/>
      <c r="K12" s="48"/>
      <c r="L12" s="37" t="str">
        <f>IF(G12&lt;&gt;0,IF(H12="No","No","Yes"),"Yes")</f>
        <v>Yes</v>
      </c>
    </row>
    <row r="13" spans="1:12" ht="33" customHeight="1" x14ac:dyDescent="0.25">
      <c r="A13" s="48"/>
      <c r="B13" s="1742" t="s">
        <v>2549</v>
      </c>
      <c r="C13" s="1743"/>
      <c r="D13" s="1743"/>
      <c r="E13" s="1744"/>
      <c r="F13" s="312">
        <v>1</v>
      </c>
      <c r="G13" s="312">
        <f>C143</f>
        <v>0</v>
      </c>
      <c r="H13" s="312" t="str">
        <f>C144</f>
        <v>No</v>
      </c>
      <c r="I13" s="48"/>
      <c r="J13" s="48"/>
      <c r="K13" s="48"/>
      <c r="L13" s="37" t="str">
        <f t="shared" ref="L13:L15" si="0">IF(G13&lt;&gt;0,IF(H13="No","No","Yes"),"Yes")</f>
        <v>Yes</v>
      </c>
    </row>
    <row r="14" spans="1:12" ht="33" customHeight="1" x14ac:dyDescent="0.25">
      <c r="A14" s="48"/>
      <c r="B14" s="1742" t="s">
        <v>2550</v>
      </c>
      <c r="C14" s="1743"/>
      <c r="D14" s="1743"/>
      <c r="E14" s="1744"/>
      <c r="F14" s="312">
        <v>1</v>
      </c>
      <c r="G14" s="312">
        <f>C220</f>
        <v>0</v>
      </c>
      <c r="H14" s="312" t="str">
        <f>C221</f>
        <v>No</v>
      </c>
      <c r="I14" s="48"/>
      <c r="J14" s="48"/>
      <c r="K14" s="48"/>
      <c r="L14" s="37" t="str">
        <f t="shared" si="0"/>
        <v>Yes</v>
      </c>
    </row>
    <row r="15" spans="1:12" ht="57" customHeight="1" x14ac:dyDescent="0.25">
      <c r="A15" s="48"/>
      <c r="B15" s="1742" t="s">
        <v>2554</v>
      </c>
      <c r="C15" s="1743"/>
      <c r="D15" s="1743"/>
      <c r="E15" s="1744"/>
      <c r="F15" s="312">
        <v>1</v>
      </c>
      <c r="G15" s="312">
        <f>C268</f>
        <v>0</v>
      </c>
      <c r="H15" s="312" t="str">
        <f>C269</f>
        <v>No</v>
      </c>
      <c r="I15" s="48"/>
      <c r="J15" s="48"/>
      <c r="K15" s="48"/>
      <c r="L15" s="37" t="str">
        <f t="shared" si="0"/>
        <v>Yes</v>
      </c>
    </row>
    <row r="16" spans="1:12" ht="18" customHeight="1" x14ac:dyDescent="0.25">
      <c r="A16" s="48"/>
      <c r="B16" s="1713" t="s">
        <v>29</v>
      </c>
      <c r="C16" s="1740"/>
      <c r="D16" s="1740"/>
      <c r="E16" s="1741"/>
      <c r="F16" s="612">
        <v>6</v>
      </c>
      <c r="G16" s="612">
        <f>MIN(6,SUM(G12:G15))</f>
        <v>0</v>
      </c>
      <c r="H16" s="612" t="str">
        <f>IF(COUNTIF(H12:H15,"No")=4,"No",IF(COUNTIF(L12:L15,"Yes")=4,"Yes","No"))</f>
        <v>No</v>
      </c>
      <c r="I16" s="48"/>
      <c r="J16" s="48"/>
      <c r="K16" s="48"/>
    </row>
    <row r="17" spans="1:13" ht="16.5" customHeight="1" x14ac:dyDescent="0.25">
      <c r="A17" s="48"/>
      <c r="B17" s="49"/>
      <c r="C17" s="49"/>
      <c r="D17" s="49"/>
      <c r="E17" s="49"/>
      <c r="F17" s="48"/>
      <c r="G17" s="48"/>
      <c r="H17" s="48"/>
      <c r="I17" s="48"/>
      <c r="J17" s="48"/>
      <c r="K17" s="48"/>
    </row>
    <row r="18" spans="1:13" ht="18" customHeight="1" x14ac:dyDescent="0.25">
      <c r="A18" s="1676" t="s">
        <v>368</v>
      </c>
      <c r="B18" s="1676"/>
      <c r="C18" s="1676"/>
      <c r="D18" s="1676"/>
      <c r="E18" s="1676"/>
      <c r="F18" s="1676"/>
      <c r="G18" s="1676"/>
      <c r="H18" s="1676"/>
      <c r="I18" s="1676"/>
      <c r="J18" s="1676"/>
      <c r="K18" s="1676"/>
    </row>
    <row r="19" spans="1:13" ht="15" customHeight="1" x14ac:dyDescent="0.25">
      <c r="A19" s="49"/>
      <c r="B19" s="49"/>
      <c r="C19" s="49"/>
      <c r="D19" s="49"/>
      <c r="E19" s="49"/>
      <c r="F19" s="49"/>
      <c r="G19" s="49"/>
      <c r="H19" s="49"/>
      <c r="I19" s="49"/>
      <c r="J19" s="49"/>
      <c r="K19" s="49"/>
    </row>
    <row r="20" spans="1:13" ht="16.5" customHeight="1" x14ac:dyDescent="0.25">
      <c r="A20" s="1677" t="s">
        <v>117</v>
      </c>
      <c r="B20" s="1677"/>
      <c r="C20" s="1677"/>
      <c r="D20" s="49"/>
      <c r="E20" s="49"/>
      <c r="F20" s="49"/>
      <c r="G20" s="49"/>
      <c r="H20" s="49"/>
      <c r="I20" s="49"/>
      <c r="J20" s="49"/>
      <c r="K20" s="49"/>
    </row>
    <row r="21" spans="1:13" ht="9" customHeight="1" x14ac:dyDescent="0.25">
      <c r="A21" s="49"/>
      <c r="B21" s="49"/>
      <c r="C21" s="49"/>
      <c r="D21" s="49"/>
      <c r="E21" s="49"/>
      <c r="F21" s="49"/>
      <c r="G21" s="49"/>
      <c r="H21" s="49"/>
      <c r="I21" s="49"/>
      <c r="J21" s="49"/>
      <c r="K21" s="49"/>
    </row>
    <row r="22" spans="1:13" ht="9" customHeight="1" x14ac:dyDescent="0.25">
      <c r="A22" s="49"/>
      <c r="B22" s="121"/>
      <c r="C22" s="49"/>
      <c r="D22" s="49"/>
      <c r="E22" s="49"/>
      <c r="F22" s="49"/>
      <c r="G22" s="49"/>
      <c r="H22" s="49"/>
      <c r="I22" s="49"/>
      <c r="J22" s="49"/>
      <c r="K22" s="49"/>
    </row>
    <row r="23" spans="1:13" ht="12" customHeight="1" x14ac:dyDescent="0.25">
      <c r="A23" s="49"/>
      <c r="B23" s="1746" t="s">
        <v>1992</v>
      </c>
      <c r="C23" s="1753"/>
      <c r="D23" s="1753"/>
      <c r="E23" s="1753"/>
      <c r="F23" s="1753"/>
      <c r="G23" s="1754"/>
      <c r="H23" s="49"/>
      <c r="I23" s="49"/>
      <c r="J23" s="49"/>
      <c r="K23" s="49"/>
    </row>
    <row r="24" spans="1:13" ht="12" customHeight="1" x14ac:dyDescent="0.25">
      <c r="A24" s="49"/>
      <c r="B24" s="1755"/>
      <c r="C24" s="1756"/>
      <c r="D24" s="1756"/>
      <c r="E24" s="1756"/>
      <c r="F24" s="1756"/>
      <c r="G24" s="1757"/>
      <c r="H24" s="49"/>
      <c r="I24" s="49"/>
      <c r="J24" s="49"/>
      <c r="K24" s="49"/>
    </row>
    <row r="25" spans="1:13" ht="12" customHeight="1" x14ac:dyDescent="0.25">
      <c r="A25" s="49"/>
      <c r="B25" s="1758"/>
      <c r="C25" s="1759"/>
      <c r="D25" s="1759"/>
      <c r="E25" s="1759"/>
      <c r="F25" s="1759"/>
      <c r="G25" s="1760"/>
      <c r="H25" s="49"/>
      <c r="I25" s="49"/>
      <c r="J25" s="49"/>
      <c r="K25" s="49"/>
    </row>
    <row r="26" spans="1:13" ht="15" customHeight="1" x14ac:dyDescent="0.25">
      <c r="A26" s="49"/>
      <c r="B26" s="126"/>
      <c r="C26" s="49"/>
      <c r="D26" s="49"/>
      <c r="E26" s="49"/>
      <c r="F26" s="49"/>
      <c r="G26" s="49"/>
      <c r="H26" s="49"/>
      <c r="I26" s="49"/>
      <c r="J26" s="49"/>
      <c r="K26" s="49"/>
    </row>
    <row r="27" spans="1:13" ht="15" customHeight="1" x14ac:dyDescent="0.25">
      <c r="A27" s="49"/>
      <c r="B27" s="1691" t="s">
        <v>1818</v>
      </c>
      <c r="C27" s="1691"/>
      <c r="D27" s="1691"/>
      <c r="E27" s="1691"/>
      <c r="F27" s="1691"/>
      <c r="G27" s="49"/>
      <c r="H27" s="49"/>
      <c r="I27" s="49"/>
      <c r="J27" s="49"/>
      <c r="K27" s="49"/>
      <c r="L27" s="49"/>
    </row>
    <row r="28" spans="1:13" ht="17.25" customHeight="1" x14ac:dyDescent="0.25">
      <c r="A28" s="49"/>
      <c r="B28" s="49"/>
      <c r="C28" s="1761" t="s">
        <v>954</v>
      </c>
      <c r="D28" s="1762"/>
      <c r="E28" s="564" t="s">
        <v>935</v>
      </c>
      <c r="F28" s="49"/>
      <c r="G28" s="49"/>
      <c r="H28" s="49"/>
      <c r="I28" s="49"/>
      <c r="J28" s="49"/>
      <c r="K28" s="49"/>
      <c r="L28" s="49" t="s">
        <v>62</v>
      </c>
    </row>
    <row r="29" spans="1:13" ht="15" customHeight="1" x14ac:dyDescent="0.25">
      <c r="A29" s="49"/>
      <c r="B29" s="49"/>
      <c r="C29" s="1739" t="s">
        <v>918</v>
      </c>
      <c r="D29" s="1739"/>
      <c r="E29" s="551">
        <v>11</v>
      </c>
      <c r="F29" s="49"/>
      <c r="G29" s="49"/>
      <c r="H29" s="49"/>
      <c r="I29" s="49"/>
      <c r="J29" s="49"/>
      <c r="K29" s="49"/>
      <c r="L29" s="590" t="s">
        <v>918</v>
      </c>
      <c r="M29" s="571">
        <v>11</v>
      </c>
    </row>
    <row r="30" spans="1:13" ht="15" customHeight="1" x14ac:dyDescent="0.25">
      <c r="A30" s="49"/>
      <c r="B30" s="49"/>
      <c r="C30" s="1739" t="s">
        <v>919</v>
      </c>
      <c r="D30" s="1739"/>
      <c r="E30" s="551">
        <v>11</v>
      </c>
      <c r="F30" s="49"/>
      <c r="G30" s="49"/>
      <c r="H30" s="49"/>
      <c r="I30" s="49"/>
      <c r="J30" s="49"/>
      <c r="K30" s="49"/>
      <c r="L30" s="590" t="s">
        <v>919</v>
      </c>
      <c r="M30" s="571">
        <v>11</v>
      </c>
    </row>
    <row r="31" spans="1:13" ht="15" customHeight="1" x14ac:dyDescent="0.25">
      <c r="A31" s="49"/>
      <c r="B31" s="49"/>
      <c r="C31" s="1739" t="s">
        <v>936</v>
      </c>
      <c r="D31" s="1739"/>
      <c r="E31" s="551">
        <v>13</v>
      </c>
      <c r="F31" s="49"/>
      <c r="G31" s="49"/>
      <c r="H31" s="49"/>
      <c r="I31" s="49"/>
      <c r="J31" s="49"/>
      <c r="K31" s="49"/>
      <c r="L31" s="590" t="s">
        <v>936</v>
      </c>
      <c r="M31" s="571">
        <v>13</v>
      </c>
    </row>
    <row r="32" spans="1:13" ht="15" customHeight="1" x14ac:dyDescent="0.25">
      <c r="A32" s="49"/>
      <c r="B32" s="49"/>
      <c r="C32" s="1739" t="s">
        <v>920</v>
      </c>
      <c r="D32" s="1739"/>
      <c r="E32" s="551">
        <v>13</v>
      </c>
      <c r="F32" s="49"/>
      <c r="G32" s="49"/>
      <c r="H32" s="49"/>
      <c r="I32" s="49"/>
      <c r="J32" s="49"/>
      <c r="K32" s="49"/>
      <c r="L32" s="590" t="s">
        <v>920</v>
      </c>
      <c r="M32" s="571">
        <v>13</v>
      </c>
    </row>
    <row r="33" spans="1:13" ht="15" customHeight="1" x14ac:dyDescent="0.25">
      <c r="A33" s="49"/>
      <c r="B33" s="49"/>
      <c r="C33" s="1739" t="s">
        <v>937</v>
      </c>
      <c r="D33" s="1739"/>
      <c r="E33" s="551">
        <v>16</v>
      </c>
      <c r="F33" s="49"/>
      <c r="G33" s="49"/>
      <c r="H33" s="49"/>
      <c r="I33" s="49"/>
      <c r="J33" s="49"/>
      <c r="K33" s="49"/>
      <c r="L33" s="590" t="s">
        <v>937</v>
      </c>
      <c r="M33" s="571">
        <v>16</v>
      </c>
    </row>
    <row r="34" spans="1:13" ht="15" customHeight="1" x14ac:dyDescent="0.25">
      <c r="A34" s="49"/>
      <c r="B34" s="49"/>
      <c r="C34" s="1739" t="s">
        <v>921</v>
      </c>
      <c r="D34" s="1739"/>
      <c r="E34" s="551">
        <v>8</v>
      </c>
      <c r="F34" s="49"/>
      <c r="G34" s="49"/>
      <c r="H34" s="49"/>
      <c r="I34" s="49"/>
      <c r="J34" s="49"/>
      <c r="K34" s="49"/>
      <c r="L34" s="590" t="s">
        <v>921</v>
      </c>
      <c r="M34" s="571">
        <v>8</v>
      </c>
    </row>
    <row r="35" spans="1:13" ht="15" customHeight="1" x14ac:dyDescent="0.25">
      <c r="A35" s="49"/>
      <c r="B35" s="49"/>
      <c r="C35" s="1739" t="s">
        <v>938</v>
      </c>
      <c r="D35" s="1739"/>
      <c r="E35" s="551">
        <v>3</v>
      </c>
      <c r="F35" s="49"/>
      <c r="G35" s="49"/>
      <c r="H35" s="49"/>
      <c r="I35" s="49"/>
      <c r="J35" s="49"/>
      <c r="K35" s="49"/>
      <c r="L35" s="590" t="s">
        <v>938</v>
      </c>
      <c r="M35" s="571">
        <v>3</v>
      </c>
    </row>
    <row r="36" spans="1:13" ht="15" customHeight="1" x14ac:dyDescent="0.25">
      <c r="A36" s="49"/>
      <c r="B36" s="49"/>
      <c r="C36" s="1739" t="s">
        <v>939</v>
      </c>
      <c r="D36" s="1739"/>
      <c r="E36" s="551">
        <v>1.6</v>
      </c>
      <c r="F36" s="49"/>
      <c r="G36" s="49"/>
      <c r="H36" s="49"/>
      <c r="I36" s="49"/>
      <c r="J36" s="49"/>
      <c r="K36" s="49"/>
      <c r="L36" s="590" t="s">
        <v>939</v>
      </c>
      <c r="M36" s="571">
        <v>1.6</v>
      </c>
    </row>
    <row r="37" spans="1:13" ht="15" customHeight="1" x14ac:dyDescent="0.25">
      <c r="B37" s="49"/>
      <c r="C37" s="1739" t="s">
        <v>953</v>
      </c>
      <c r="D37" s="1739"/>
      <c r="E37" s="551">
        <v>13</v>
      </c>
      <c r="F37" s="49"/>
      <c r="G37" s="49"/>
      <c r="H37" s="49"/>
      <c r="I37" s="49"/>
      <c r="J37" s="49"/>
      <c r="K37" s="49"/>
      <c r="L37" s="590" t="s">
        <v>953</v>
      </c>
      <c r="M37" s="571">
        <v>13</v>
      </c>
    </row>
    <row r="38" spans="1:13" ht="15" customHeight="1" x14ac:dyDescent="0.25">
      <c r="A38" s="49"/>
      <c r="B38" s="121"/>
      <c r="C38" s="49"/>
      <c r="D38" s="49"/>
      <c r="E38" s="49"/>
      <c r="F38" s="49"/>
      <c r="G38" s="49"/>
      <c r="H38" s="49"/>
      <c r="I38" s="49"/>
      <c r="J38" s="49"/>
      <c r="K38" s="49"/>
    </row>
    <row r="39" spans="1:13" ht="15" customHeight="1" x14ac:dyDescent="0.25">
      <c r="A39" s="49"/>
      <c r="B39" s="588" t="s">
        <v>944</v>
      </c>
      <c r="C39" s="511"/>
      <c r="D39" s="511"/>
      <c r="E39" s="511"/>
      <c r="F39" s="511"/>
      <c r="G39" s="512"/>
      <c r="H39" s="49"/>
      <c r="I39" s="49"/>
      <c r="J39" s="49"/>
      <c r="K39" s="49"/>
    </row>
    <row r="40" spans="1:13" ht="15" customHeight="1" x14ac:dyDescent="0.25">
      <c r="A40" s="49"/>
      <c r="B40" s="705" t="s">
        <v>941</v>
      </c>
      <c r="C40" s="513"/>
      <c r="D40" s="513"/>
      <c r="E40" s="513"/>
      <c r="F40" s="513"/>
      <c r="G40" s="514"/>
      <c r="H40" s="49"/>
      <c r="I40" s="49"/>
      <c r="J40" s="49"/>
      <c r="K40" s="49"/>
    </row>
    <row r="41" spans="1:13" ht="15" customHeight="1" x14ac:dyDescent="0.25">
      <c r="A41" s="49"/>
      <c r="B41" s="705" t="s">
        <v>942</v>
      </c>
      <c r="C41" s="513"/>
      <c r="D41" s="513"/>
      <c r="E41" s="513"/>
      <c r="F41" s="513"/>
      <c r="G41" s="514"/>
      <c r="H41" s="49"/>
      <c r="I41" s="49"/>
      <c r="J41" s="49"/>
      <c r="K41" s="49"/>
    </row>
    <row r="42" spans="1:13" ht="15" customHeight="1" x14ac:dyDescent="0.25">
      <c r="A42" s="49"/>
      <c r="B42" s="705" t="s">
        <v>943</v>
      </c>
      <c r="C42" s="513"/>
      <c r="D42" s="513"/>
      <c r="E42" s="513"/>
      <c r="F42" s="513"/>
      <c r="G42" s="514"/>
      <c r="H42" s="49"/>
      <c r="I42" s="49"/>
      <c r="J42" s="49"/>
      <c r="K42" s="49"/>
    </row>
    <row r="43" spans="1:13" ht="15" customHeight="1" x14ac:dyDescent="0.25">
      <c r="A43" s="49"/>
      <c r="B43" s="706" t="s">
        <v>945</v>
      </c>
      <c r="C43" s="515"/>
      <c r="D43" s="515"/>
      <c r="E43" s="515"/>
      <c r="F43" s="515"/>
      <c r="G43" s="516"/>
      <c r="H43" s="49"/>
      <c r="I43" s="49"/>
      <c r="J43" s="49"/>
      <c r="K43" s="49"/>
    </row>
    <row r="44" spans="1:13" ht="10.5" customHeight="1" x14ac:dyDescent="0.25">
      <c r="A44" s="49"/>
      <c r="B44" s="49"/>
      <c r="C44" s="49"/>
      <c r="D44" s="49"/>
      <c r="E44" s="49"/>
      <c r="F44" s="49"/>
      <c r="G44" s="49"/>
      <c r="H44" s="49"/>
      <c r="I44" s="49"/>
      <c r="J44" s="49"/>
      <c r="K44" s="49"/>
    </row>
    <row r="45" spans="1:13" ht="10.5" customHeight="1" x14ac:dyDescent="0.25">
      <c r="A45" s="49"/>
      <c r="B45" s="49"/>
      <c r="C45" s="49"/>
      <c r="D45" s="49"/>
      <c r="E45" s="49"/>
      <c r="F45" s="49"/>
      <c r="G45" s="49"/>
      <c r="H45" s="49"/>
      <c r="I45" s="49"/>
      <c r="J45" s="49"/>
      <c r="K45" s="49"/>
    </row>
    <row r="46" spans="1:13" ht="16.5" customHeight="1" x14ac:dyDescent="0.25">
      <c r="A46" s="1677" t="s">
        <v>9</v>
      </c>
      <c r="B46" s="1677"/>
      <c r="C46" s="1677"/>
      <c r="D46" s="49"/>
      <c r="E46" s="49"/>
      <c r="F46" s="49"/>
      <c r="G46" s="49"/>
      <c r="H46" s="49"/>
      <c r="I46" s="49"/>
      <c r="J46" s="49"/>
      <c r="K46" s="49"/>
    </row>
    <row r="47" spans="1:13" x14ac:dyDescent="0.25">
      <c r="A47" s="49"/>
      <c r="B47" s="49"/>
      <c r="C47" s="49"/>
      <c r="D47" s="49"/>
      <c r="E47" s="49"/>
      <c r="F47" s="49"/>
      <c r="G47" s="49"/>
      <c r="H47" s="49"/>
      <c r="I47" s="49"/>
      <c r="J47" s="49"/>
      <c r="K47" s="49"/>
    </row>
    <row r="48" spans="1:13" x14ac:dyDescent="0.25">
      <c r="A48" s="49"/>
      <c r="B48" s="1763" t="s">
        <v>1003</v>
      </c>
      <c r="C48" s="1764"/>
      <c r="D48" s="1764"/>
      <c r="E48" s="1764"/>
      <c r="F48" s="1764"/>
      <c r="G48" s="1764"/>
      <c r="H48" s="1764"/>
      <c r="I48" s="48"/>
      <c r="J48" s="49"/>
      <c r="K48" s="49"/>
    </row>
    <row r="49" spans="1:16" x14ac:dyDescent="0.25">
      <c r="A49" s="49"/>
      <c r="B49" s="1764"/>
      <c r="C49" s="1764"/>
      <c r="D49" s="1764"/>
      <c r="E49" s="1764"/>
      <c r="F49" s="1764"/>
      <c r="G49" s="1764"/>
      <c r="H49" s="1764"/>
      <c r="I49" s="48"/>
      <c r="J49" s="49"/>
      <c r="K49" s="49"/>
    </row>
    <row r="50" spans="1:16" ht="12" customHeight="1" x14ac:dyDescent="0.25">
      <c r="A50" s="49"/>
      <c r="B50" s="49"/>
      <c r="C50" s="49"/>
      <c r="D50" s="49"/>
      <c r="E50" s="49"/>
      <c r="F50" s="48"/>
      <c r="G50" s="48"/>
      <c r="H50" s="48"/>
      <c r="I50" s="48"/>
      <c r="J50" s="49"/>
      <c r="K50" s="49"/>
    </row>
    <row r="51" spans="1:16" ht="16.5" customHeight="1" x14ac:dyDescent="0.25">
      <c r="A51" s="49"/>
      <c r="B51" s="49"/>
      <c r="C51" s="49"/>
      <c r="D51" s="566" t="s">
        <v>955</v>
      </c>
      <c r="E51" s="566" t="s">
        <v>956</v>
      </c>
      <c r="F51" s="566" t="s">
        <v>957</v>
      </c>
      <c r="G51" s="566" t="s">
        <v>959</v>
      </c>
      <c r="H51" s="1089" t="s">
        <v>1993</v>
      </c>
      <c r="I51" s="48"/>
      <c r="J51" s="49"/>
      <c r="K51" s="49"/>
    </row>
    <row r="52" spans="1:16" ht="16.5" customHeight="1" x14ac:dyDescent="0.25">
      <c r="A52" s="49"/>
      <c r="B52" s="1738" t="s">
        <v>952</v>
      </c>
      <c r="C52" s="1738"/>
      <c r="D52" s="591" t="s">
        <v>62</v>
      </c>
      <c r="E52" s="591" t="s">
        <v>62</v>
      </c>
      <c r="F52" s="591" t="s">
        <v>62</v>
      </c>
      <c r="G52" s="591" t="s">
        <v>62</v>
      </c>
      <c r="H52" s="591" t="s">
        <v>62</v>
      </c>
      <c r="I52" s="48"/>
      <c r="J52" s="49"/>
      <c r="K52" s="49"/>
      <c r="L52" s="37">
        <f>IFERROR(VLOOKUP(D52,$L$29:$M$37,2,FALSE),0)</f>
        <v>0</v>
      </c>
      <c r="M52" s="37">
        <f t="shared" ref="M52:P52" si="1">IFERROR(VLOOKUP(E52,$L$29:$M$37,2,FALSE),0)</f>
        <v>0</v>
      </c>
      <c r="N52" s="37">
        <f t="shared" si="1"/>
        <v>0</v>
      </c>
      <c r="O52" s="37">
        <f t="shared" si="1"/>
        <v>0</v>
      </c>
      <c r="P52" s="37">
        <f t="shared" si="1"/>
        <v>0</v>
      </c>
    </row>
    <row r="53" spans="1:16" ht="16.5" customHeight="1" x14ac:dyDescent="0.25">
      <c r="A53" s="49"/>
      <c r="B53" s="1738" t="s">
        <v>958</v>
      </c>
      <c r="C53" s="1738"/>
      <c r="D53" s="591"/>
      <c r="E53" s="591"/>
      <c r="F53" s="591"/>
      <c r="G53" s="591"/>
      <c r="H53" s="591"/>
      <c r="I53" s="49"/>
      <c r="J53" s="49"/>
      <c r="K53" s="49"/>
    </row>
    <row r="54" spans="1:16" ht="18" customHeight="1" x14ac:dyDescent="0.25">
      <c r="A54" s="49"/>
      <c r="B54" s="49"/>
      <c r="C54" s="49"/>
      <c r="D54" s="49"/>
      <c r="E54" s="49"/>
      <c r="F54" s="49"/>
      <c r="G54" s="49"/>
      <c r="H54" s="49"/>
      <c r="I54" s="49"/>
      <c r="J54" s="49"/>
      <c r="K54" s="49"/>
    </row>
    <row r="55" spans="1:16" x14ac:dyDescent="0.25">
      <c r="A55" s="49"/>
      <c r="B55" s="692" t="s">
        <v>1104</v>
      </c>
      <c r="C55" s="49"/>
      <c r="D55" s="49"/>
      <c r="E55" s="49"/>
      <c r="F55" s="49"/>
      <c r="G55" s="49"/>
      <c r="H55" s="49"/>
      <c r="I55" s="49"/>
      <c r="J55" s="49"/>
      <c r="K55" s="49"/>
    </row>
    <row r="56" spans="1:16" ht="11.25" customHeight="1" x14ac:dyDescent="0.25">
      <c r="A56" s="49"/>
      <c r="B56" s="49"/>
      <c r="C56" s="49"/>
      <c r="D56" s="49"/>
      <c r="E56" s="49"/>
      <c r="F56" s="49"/>
      <c r="G56" s="49"/>
      <c r="H56" s="49"/>
      <c r="I56" s="49"/>
      <c r="J56" s="49"/>
      <c r="K56" s="49"/>
    </row>
    <row r="57" spans="1:16" ht="15" customHeight="1" x14ac:dyDescent="0.25">
      <c r="A57" s="49"/>
      <c r="B57" s="1752" t="s">
        <v>1105</v>
      </c>
      <c r="C57" s="1769"/>
      <c r="D57" s="1769"/>
      <c r="E57" s="1769"/>
      <c r="F57" s="1769"/>
      <c r="G57" s="1769"/>
      <c r="H57" s="1769"/>
      <c r="I57" s="49"/>
      <c r="J57" s="49"/>
      <c r="K57" s="49"/>
    </row>
    <row r="58" spans="1:16" ht="15" customHeight="1" x14ac:dyDescent="0.25">
      <c r="A58" s="49"/>
      <c r="B58" s="1769"/>
      <c r="C58" s="1769"/>
      <c r="D58" s="1769"/>
      <c r="E58" s="1769"/>
      <c r="F58" s="1769"/>
      <c r="G58" s="1769"/>
      <c r="H58" s="1769"/>
      <c r="I58" s="49"/>
      <c r="J58" s="49"/>
      <c r="K58" s="49"/>
    </row>
    <row r="59" spans="1:16" ht="10.5" customHeight="1" x14ac:dyDescent="0.25">
      <c r="A59" s="49"/>
      <c r="B59" s="615"/>
      <c r="C59" s="615"/>
      <c r="D59" s="615"/>
      <c r="E59" s="615"/>
      <c r="F59" s="615"/>
      <c r="G59" s="615"/>
      <c r="H59" s="615"/>
      <c r="I59" s="49"/>
      <c r="J59" s="49"/>
      <c r="K59" s="49"/>
    </row>
    <row r="60" spans="1:16" ht="20.25" customHeight="1" x14ac:dyDescent="0.25">
      <c r="A60" s="49"/>
      <c r="B60" s="570" t="s">
        <v>113</v>
      </c>
      <c r="C60" s="566" t="s">
        <v>10</v>
      </c>
      <c r="D60" s="566" t="s">
        <v>11</v>
      </c>
      <c r="E60" s="566" t="s">
        <v>12</v>
      </c>
      <c r="F60" s="568" t="s">
        <v>13</v>
      </c>
      <c r="G60" s="566" t="s">
        <v>14</v>
      </c>
      <c r="H60" s="567" t="s">
        <v>15</v>
      </c>
      <c r="I60" s="48"/>
      <c r="J60" s="49"/>
      <c r="K60" s="49"/>
      <c r="L60" s="48"/>
    </row>
    <row r="61" spans="1:16" x14ac:dyDescent="0.25">
      <c r="A61" s="49"/>
      <c r="B61" s="105"/>
      <c r="C61" s="565"/>
      <c r="D61" s="105"/>
      <c r="E61" s="105"/>
      <c r="F61" s="105"/>
      <c r="G61" s="58" t="str">
        <f>IF(OR(E61="",B61="",D61=""),"",D61*E61+F61)</f>
        <v/>
      </c>
      <c r="H61" s="105"/>
      <c r="I61" s="48"/>
      <c r="J61" s="49"/>
      <c r="K61" s="49"/>
      <c r="L61" s="48"/>
    </row>
    <row r="62" spans="1:16" x14ac:dyDescent="0.25">
      <c r="A62" s="49"/>
      <c r="B62" s="105"/>
      <c r="C62" s="565"/>
      <c r="D62" s="105"/>
      <c r="E62" s="105"/>
      <c r="F62" s="105"/>
      <c r="G62" s="58" t="str">
        <f t="shared" ref="G62:G75" si="2">IF(OR(E62="",B62=""),"",D62*E62+F62)</f>
        <v/>
      </c>
      <c r="H62" s="105"/>
      <c r="I62" s="48"/>
      <c r="J62" s="49"/>
      <c r="K62" s="49"/>
      <c r="L62" s="48"/>
    </row>
    <row r="63" spans="1:16" x14ac:dyDescent="0.25">
      <c r="A63" s="49"/>
      <c r="B63" s="105"/>
      <c r="C63" s="565"/>
      <c r="D63" s="105"/>
      <c r="E63" s="105"/>
      <c r="F63" s="105"/>
      <c r="G63" s="58" t="str">
        <f t="shared" si="2"/>
        <v/>
      </c>
      <c r="H63" s="105"/>
      <c r="I63" s="48"/>
      <c r="J63" s="49"/>
      <c r="K63" s="49"/>
      <c r="L63" s="48"/>
    </row>
    <row r="64" spans="1:16" x14ac:dyDescent="0.25">
      <c r="A64" s="49"/>
      <c r="B64" s="105"/>
      <c r="C64" s="565"/>
      <c r="D64" s="105"/>
      <c r="E64" s="105"/>
      <c r="F64" s="105"/>
      <c r="G64" s="58" t="str">
        <f t="shared" si="2"/>
        <v/>
      </c>
      <c r="H64" s="105"/>
      <c r="I64" s="48"/>
      <c r="J64" s="49"/>
      <c r="K64" s="49"/>
      <c r="L64" s="48"/>
    </row>
    <row r="65" spans="1:12" x14ac:dyDescent="0.25">
      <c r="A65" s="49"/>
      <c r="B65" s="105"/>
      <c r="C65" s="565"/>
      <c r="D65" s="105"/>
      <c r="E65" s="105"/>
      <c r="F65" s="105"/>
      <c r="G65" s="58" t="str">
        <f t="shared" si="2"/>
        <v/>
      </c>
      <c r="H65" s="105"/>
      <c r="I65" s="48"/>
      <c r="J65" s="49"/>
      <c r="K65" s="49"/>
      <c r="L65" s="48"/>
    </row>
    <row r="66" spans="1:12" x14ac:dyDescent="0.25">
      <c r="A66" s="49"/>
      <c r="B66" s="105"/>
      <c r="C66" s="565"/>
      <c r="D66" s="105"/>
      <c r="E66" s="105"/>
      <c r="F66" s="105"/>
      <c r="G66" s="58" t="str">
        <f t="shared" si="2"/>
        <v/>
      </c>
      <c r="H66" s="105"/>
      <c r="I66" s="48"/>
      <c r="J66" s="49"/>
      <c r="K66" s="49"/>
      <c r="L66" s="48"/>
    </row>
    <row r="67" spans="1:12" x14ac:dyDescent="0.25">
      <c r="A67" s="49"/>
      <c r="B67" s="105"/>
      <c r="C67" s="565"/>
      <c r="D67" s="105"/>
      <c r="E67" s="105"/>
      <c r="F67" s="105"/>
      <c r="G67" s="58" t="str">
        <f t="shared" si="2"/>
        <v/>
      </c>
      <c r="H67" s="105"/>
      <c r="I67" s="48"/>
      <c r="J67" s="49"/>
      <c r="K67" s="49"/>
      <c r="L67" s="48"/>
    </row>
    <row r="68" spans="1:12" x14ac:dyDescent="0.25">
      <c r="A68" s="49"/>
      <c r="B68" s="105"/>
      <c r="C68" s="565"/>
      <c r="D68" s="105"/>
      <c r="E68" s="105"/>
      <c r="F68" s="105"/>
      <c r="G68" s="58" t="str">
        <f t="shared" si="2"/>
        <v/>
      </c>
      <c r="H68" s="105"/>
      <c r="I68" s="48"/>
      <c r="J68" s="49"/>
      <c r="K68" s="49"/>
      <c r="L68" s="48"/>
    </row>
    <row r="69" spans="1:12" x14ac:dyDescent="0.25">
      <c r="A69" s="49"/>
      <c r="B69" s="105"/>
      <c r="C69" s="565"/>
      <c r="D69" s="105"/>
      <c r="E69" s="105"/>
      <c r="F69" s="105"/>
      <c r="G69" s="58" t="str">
        <f t="shared" si="2"/>
        <v/>
      </c>
      <c r="H69" s="105"/>
      <c r="I69" s="48"/>
      <c r="J69" s="49"/>
      <c r="K69" s="49"/>
      <c r="L69" s="48"/>
    </row>
    <row r="70" spans="1:12" x14ac:dyDescent="0.25">
      <c r="A70" s="49"/>
      <c r="B70" s="105"/>
      <c r="C70" s="565"/>
      <c r="D70" s="105"/>
      <c r="E70" s="105"/>
      <c r="F70" s="105"/>
      <c r="G70" s="58" t="str">
        <f t="shared" si="2"/>
        <v/>
      </c>
      <c r="H70" s="105"/>
      <c r="I70" s="48"/>
      <c r="J70" s="49"/>
      <c r="K70" s="49"/>
      <c r="L70" s="48"/>
    </row>
    <row r="71" spans="1:12" x14ac:dyDescent="0.25">
      <c r="A71" s="49"/>
      <c r="B71" s="105"/>
      <c r="C71" s="565"/>
      <c r="D71" s="105"/>
      <c r="E71" s="105"/>
      <c r="F71" s="105"/>
      <c r="G71" s="58" t="str">
        <f t="shared" si="2"/>
        <v/>
      </c>
      <c r="H71" s="105"/>
      <c r="I71" s="48"/>
      <c r="J71" s="49"/>
      <c r="K71" s="49"/>
      <c r="L71" s="48"/>
    </row>
    <row r="72" spans="1:12" x14ac:dyDescent="0.25">
      <c r="A72" s="49"/>
      <c r="B72" s="105"/>
      <c r="C72" s="565"/>
      <c r="D72" s="105"/>
      <c r="E72" s="105"/>
      <c r="F72" s="105"/>
      <c r="G72" s="58" t="str">
        <f t="shared" si="2"/>
        <v/>
      </c>
      <c r="H72" s="105"/>
      <c r="I72" s="48"/>
      <c r="J72" s="49"/>
      <c r="K72" s="49"/>
      <c r="L72" s="48"/>
    </row>
    <row r="73" spans="1:12" x14ac:dyDescent="0.25">
      <c r="A73" s="49"/>
      <c r="B73" s="105"/>
      <c r="C73" s="565"/>
      <c r="D73" s="105"/>
      <c r="E73" s="105"/>
      <c r="F73" s="105"/>
      <c r="G73" s="58" t="str">
        <f t="shared" si="2"/>
        <v/>
      </c>
      <c r="H73" s="105"/>
      <c r="I73" s="48"/>
      <c r="J73" s="49"/>
      <c r="K73" s="49"/>
      <c r="L73" s="48"/>
    </row>
    <row r="74" spans="1:12" x14ac:dyDescent="0.25">
      <c r="A74" s="49"/>
      <c r="B74" s="105"/>
      <c r="C74" s="565"/>
      <c r="D74" s="105"/>
      <c r="E74" s="105"/>
      <c r="F74" s="105"/>
      <c r="G74" s="58" t="str">
        <f t="shared" si="2"/>
        <v/>
      </c>
      <c r="H74" s="105"/>
      <c r="I74" s="48"/>
      <c r="J74" s="49"/>
      <c r="K74" s="49"/>
      <c r="L74" s="48"/>
    </row>
    <row r="75" spans="1:12" x14ac:dyDescent="0.25">
      <c r="A75" s="49"/>
      <c r="B75" s="105"/>
      <c r="C75" s="565"/>
      <c r="D75" s="105"/>
      <c r="E75" s="105"/>
      <c r="F75" s="105"/>
      <c r="G75" s="58" t="str">
        <f t="shared" si="2"/>
        <v/>
      </c>
      <c r="H75" s="105"/>
      <c r="I75" s="48"/>
      <c r="J75" s="49"/>
      <c r="K75" s="49"/>
      <c r="L75" s="48"/>
    </row>
    <row r="76" spans="1:12" x14ac:dyDescent="0.25">
      <c r="A76" s="49"/>
      <c r="B76" s="49"/>
      <c r="C76" s="49"/>
      <c r="D76" s="49"/>
      <c r="E76" s="49"/>
      <c r="F76" s="49"/>
      <c r="G76" s="49"/>
      <c r="H76" s="49"/>
      <c r="I76" s="49"/>
      <c r="J76" s="49"/>
      <c r="K76" s="49"/>
      <c r="L76" s="48"/>
    </row>
    <row r="77" spans="1:12" ht="18" customHeight="1" x14ac:dyDescent="0.25">
      <c r="A77" s="49"/>
      <c r="B77" s="1678" t="s">
        <v>960</v>
      </c>
      <c r="C77" s="1679"/>
      <c r="D77" s="1680"/>
      <c r="E77" s="130" t="str">
        <f>IFERROR(SUM(G61:G75)/SUM(D53:G53),"")</f>
        <v/>
      </c>
      <c r="F77" s="49"/>
      <c r="G77" s="49"/>
      <c r="H77" s="49"/>
      <c r="I77" s="49"/>
      <c r="J77" s="49"/>
      <c r="K77" s="49"/>
    </row>
    <row r="78" spans="1:12" ht="18" customHeight="1" x14ac:dyDescent="0.25">
      <c r="A78" s="49"/>
      <c r="B78" s="1678" t="s">
        <v>961</v>
      </c>
      <c r="C78" s="1679"/>
      <c r="D78" s="1680"/>
      <c r="E78" s="130" t="str">
        <f>IFERROR(SUMPRODUCT(L52:P52,D53:H53)/SUM(D53:H53),"")</f>
        <v/>
      </c>
      <c r="F78" s="49"/>
      <c r="G78" s="49"/>
      <c r="H78" s="49"/>
      <c r="I78" s="49"/>
      <c r="J78" s="49"/>
      <c r="K78" s="49"/>
    </row>
    <row r="79" spans="1:12" ht="18" customHeight="1" x14ac:dyDescent="0.25">
      <c r="A79" s="49"/>
      <c r="B79" s="1678" t="s">
        <v>962</v>
      </c>
      <c r="C79" s="1679"/>
      <c r="D79" s="1680"/>
      <c r="E79" s="592" t="str">
        <f>IFERROR(1-E77/E78,"")</f>
        <v/>
      </c>
      <c r="F79" s="49"/>
      <c r="G79" s="49"/>
      <c r="H79" s="49"/>
      <c r="I79" s="49"/>
      <c r="J79" s="49"/>
      <c r="K79" s="49"/>
    </row>
    <row r="80" spans="1:12" ht="18" customHeight="1" x14ac:dyDescent="0.25">
      <c r="A80" s="49"/>
      <c r="B80" s="49"/>
      <c r="C80" s="49"/>
      <c r="D80" s="49"/>
      <c r="E80" s="49"/>
      <c r="F80" s="49"/>
      <c r="G80" s="49"/>
      <c r="H80" s="49"/>
      <c r="I80" s="49"/>
      <c r="J80" s="49"/>
      <c r="K80" s="49"/>
    </row>
    <row r="81" spans="1:12" ht="16.5" customHeight="1" x14ac:dyDescent="0.25">
      <c r="A81" s="1677" t="s">
        <v>97</v>
      </c>
      <c r="B81" s="1677"/>
      <c r="C81" s="1677"/>
      <c r="D81" s="49"/>
      <c r="E81" s="49"/>
      <c r="F81" s="49"/>
      <c r="G81" s="49"/>
      <c r="H81" s="49"/>
      <c r="I81" s="49"/>
      <c r="J81" s="49"/>
      <c r="K81" s="49"/>
    </row>
    <row r="82" spans="1:12" x14ac:dyDescent="0.25">
      <c r="A82" s="49"/>
      <c r="B82" s="49"/>
      <c r="C82" s="49"/>
      <c r="D82" s="49"/>
      <c r="E82" s="49"/>
      <c r="F82" s="49"/>
      <c r="G82" s="49"/>
      <c r="H82" s="49"/>
      <c r="I82" s="49"/>
      <c r="J82" s="49"/>
      <c r="K82" s="49"/>
    </row>
    <row r="83" spans="1:12" ht="21" customHeight="1" x14ac:dyDescent="0.25">
      <c r="A83" s="48"/>
      <c r="B83" s="1627" t="s">
        <v>98</v>
      </c>
      <c r="C83" s="1628"/>
      <c r="D83" s="1628"/>
      <c r="E83" s="1628"/>
      <c r="F83" s="1628"/>
      <c r="G83" s="769" t="s">
        <v>1297</v>
      </c>
      <c r="H83" s="1629" t="s">
        <v>1298</v>
      </c>
      <c r="I83" s="1630"/>
      <c r="J83" s="49"/>
      <c r="K83" s="49"/>
    </row>
    <row r="84" spans="1:12" ht="30" customHeight="1" x14ac:dyDescent="0.25">
      <c r="A84" s="48"/>
      <c r="B84" s="1644" t="str">
        <f>Submittals!H20</f>
        <v>Select the Submission Stage in Project Information</v>
      </c>
      <c r="C84" s="1645"/>
      <c r="D84" s="1645"/>
      <c r="E84" s="1645"/>
      <c r="F84" s="1646"/>
      <c r="G84" s="1075" t="s">
        <v>62</v>
      </c>
      <c r="H84" s="1625"/>
      <c r="I84" s="1662"/>
      <c r="J84" s="49"/>
      <c r="K84" s="49"/>
      <c r="L84" s="37" t="str">
        <f>IF(OR(B84="/",B84="No evidence required at this submission stage"),"Yes",IF(G84="Submitted","Yes","No"))</f>
        <v>No</v>
      </c>
    </row>
    <row r="85" spans="1:12" ht="30" customHeight="1" x14ac:dyDescent="0.25">
      <c r="A85" s="48"/>
      <c r="B85" s="1644" t="str">
        <f>Submittals!H21</f>
        <v>Select the Submission Stage in Project Information</v>
      </c>
      <c r="C85" s="1645"/>
      <c r="D85" s="1645"/>
      <c r="E85" s="1645"/>
      <c r="F85" s="1646"/>
      <c r="G85" s="1271" t="s">
        <v>62</v>
      </c>
      <c r="H85" s="1625"/>
      <c r="I85" s="1662"/>
      <c r="J85" s="49"/>
      <c r="K85" s="49"/>
      <c r="L85" s="37" t="str">
        <f>IF(OR(B85="/",B85="No evidence required at this submission stage"),"Yes",IF(G85="Submitted","Yes","No"))</f>
        <v>No</v>
      </c>
    </row>
    <row r="86" spans="1:12" ht="30" customHeight="1" x14ac:dyDescent="0.25">
      <c r="A86" s="48"/>
      <c r="B86" s="1644" t="str">
        <f>Submittals!H22</f>
        <v>Select the Submission Stage in Project Information</v>
      </c>
      <c r="C86" s="1645"/>
      <c r="D86" s="1645"/>
      <c r="E86" s="1645"/>
      <c r="F86" s="1646"/>
      <c r="G86" s="1075" t="s">
        <v>62</v>
      </c>
      <c r="H86" s="1625"/>
      <c r="I86" s="1662"/>
      <c r="J86" s="49"/>
      <c r="K86" s="49"/>
      <c r="L86" s="37" t="str">
        <f>IF(OR(B86="/",B86="No evidence required at this submission stage"),"Yes",IF(G86="Submitted","Yes","No"))</f>
        <v>No</v>
      </c>
    </row>
    <row r="87" spans="1:12" ht="16.5" customHeight="1" x14ac:dyDescent="0.25">
      <c r="A87" s="49"/>
      <c r="B87" s="49"/>
      <c r="C87" s="49"/>
      <c r="D87" s="49"/>
      <c r="E87" s="49"/>
      <c r="F87" s="49"/>
      <c r="G87" s="49"/>
      <c r="H87" s="49"/>
      <c r="I87" s="49"/>
      <c r="J87" s="49"/>
      <c r="K87" s="49"/>
    </row>
    <row r="88" spans="1:12" ht="16.5" customHeight="1" x14ac:dyDescent="0.25">
      <c r="A88" s="1677" t="s">
        <v>8</v>
      </c>
      <c r="B88" s="1677"/>
      <c r="C88" s="1677"/>
      <c r="D88" s="49"/>
      <c r="E88" s="49"/>
      <c r="F88" s="49"/>
      <c r="G88" s="49"/>
      <c r="H88" s="49"/>
      <c r="I88" s="49"/>
      <c r="J88" s="49"/>
      <c r="K88" s="49"/>
    </row>
    <row r="89" spans="1:12" ht="17.25" customHeight="1" x14ac:dyDescent="0.25">
      <c r="A89" s="49"/>
      <c r="B89" s="49"/>
      <c r="C89" s="49"/>
      <c r="D89" s="49"/>
      <c r="E89" s="49"/>
      <c r="F89" s="49"/>
      <c r="G89" s="49"/>
      <c r="H89" s="49"/>
      <c r="I89" s="49"/>
      <c r="J89" s="49"/>
      <c r="K89" s="49"/>
    </row>
    <row r="90" spans="1:12" ht="18" customHeight="1" x14ac:dyDescent="0.25">
      <c r="A90" s="49"/>
      <c r="B90" s="129" t="s">
        <v>19</v>
      </c>
      <c r="C90" s="8">
        <f>IF(E79="",0,IF(E79&gt;=0.5,5,IF(E79&gt;=0.4,4,IF(E79&gt;=0.3,3,IF(E79&gt;=0.2,2,IF(E79&gt;=0.1,1,0))))))</f>
        <v>0</v>
      </c>
      <c r="D90" s="49"/>
      <c r="E90" s="49"/>
      <c r="F90" s="49"/>
      <c r="G90" s="49"/>
      <c r="H90" s="49"/>
      <c r="I90" s="49"/>
      <c r="J90" s="49"/>
      <c r="K90" s="49"/>
    </row>
    <row r="91" spans="1:12" ht="18" customHeight="1" x14ac:dyDescent="0.25">
      <c r="A91" s="49"/>
      <c r="B91" s="129" t="s">
        <v>151</v>
      </c>
      <c r="C91" s="7" t="str">
        <f>IF(AND(COUNTIF(L84:L86,"Yes")=3,C90&gt;0),"Yes","No")</f>
        <v>No</v>
      </c>
      <c r="D91" s="49"/>
      <c r="E91" s="49"/>
      <c r="F91" s="49"/>
      <c r="G91" s="49"/>
      <c r="H91" s="49"/>
      <c r="I91" s="49"/>
      <c r="J91" s="49"/>
      <c r="K91" s="49"/>
    </row>
    <row r="92" spans="1:12" ht="21" customHeight="1" x14ac:dyDescent="0.25">
      <c r="A92" s="49"/>
      <c r="B92" s="49"/>
      <c r="C92" s="49"/>
      <c r="D92" s="49"/>
      <c r="E92" s="49"/>
      <c r="F92" s="49"/>
      <c r="G92" s="49"/>
      <c r="H92" s="49"/>
      <c r="I92" s="49"/>
      <c r="J92" s="49"/>
      <c r="K92" s="49"/>
    </row>
    <row r="93" spans="1:12" ht="18" customHeight="1" x14ac:dyDescent="0.25">
      <c r="A93" s="1676" t="s">
        <v>2551</v>
      </c>
      <c r="B93" s="1676"/>
      <c r="C93" s="1676"/>
      <c r="D93" s="1676"/>
      <c r="E93" s="1676"/>
      <c r="F93" s="1676"/>
      <c r="G93" s="1676"/>
      <c r="H93" s="1676"/>
      <c r="I93" s="1676"/>
      <c r="J93" s="1676"/>
      <c r="K93" s="1676"/>
    </row>
    <row r="94" spans="1:12" ht="15" customHeight="1" x14ac:dyDescent="0.25">
      <c r="A94" s="49"/>
      <c r="B94" s="49"/>
      <c r="C94" s="49"/>
      <c r="D94" s="49"/>
      <c r="E94" s="49"/>
      <c r="F94" s="49"/>
      <c r="G94" s="49"/>
      <c r="H94" s="49"/>
      <c r="I94" s="49"/>
      <c r="J94" s="49"/>
      <c r="K94" s="49"/>
    </row>
    <row r="95" spans="1:12" ht="16.5" customHeight="1" x14ac:dyDescent="0.25">
      <c r="A95" s="1677" t="s">
        <v>117</v>
      </c>
      <c r="B95" s="1677"/>
      <c r="C95" s="1677"/>
      <c r="D95" s="49"/>
      <c r="E95" s="49"/>
      <c r="F95" s="49"/>
      <c r="G95" s="49"/>
      <c r="H95" s="49"/>
      <c r="I95" s="49"/>
      <c r="J95" s="49"/>
      <c r="K95" s="49"/>
    </row>
    <row r="96" spans="1:12" ht="12" customHeight="1" x14ac:dyDescent="0.25">
      <c r="A96" s="49"/>
      <c r="B96" s="49"/>
      <c r="C96" s="49"/>
      <c r="D96" s="49"/>
      <c r="E96" s="49"/>
      <c r="F96" s="49"/>
      <c r="G96" s="49"/>
      <c r="H96" s="49"/>
      <c r="I96" s="49"/>
      <c r="J96" s="49"/>
      <c r="K96" s="49"/>
    </row>
    <row r="97" spans="1:13" x14ac:dyDescent="0.25">
      <c r="A97" s="49"/>
      <c r="B97" s="121" t="s">
        <v>2552</v>
      </c>
      <c r="C97" s="49"/>
      <c r="D97" s="49"/>
      <c r="E97" s="49"/>
      <c r="F97" s="49"/>
      <c r="G97" s="49"/>
      <c r="H97" s="49"/>
      <c r="I97" s="49"/>
      <c r="J97" s="49"/>
      <c r="K97" s="49"/>
    </row>
    <row r="98" spans="1:13" ht="12" customHeight="1" x14ac:dyDescent="0.25">
      <c r="A98" s="49"/>
      <c r="B98" s="49"/>
      <c r="C98" s="49"/>
      <c r="D98" s="49"/>
      <c r="E98" s="49"/>
      <c r="F98" s="49"/>
      <c r="G98" s="49"/>
      <c r="H98" s="49"/>
      <c r="I98" s="49"/>
      <c r="J98" s="49"/>
      <c r="K98" s="49"/>
    </row>
    <row r="99" spans="1:13" x14ac:dyDescent="0.25">
      <c r="A99" s="49"/>
      <c r="B99" s="1766" t="s">
        <v>926</v>
      </c>
      <c r="C99" s="1767"/>
      <c r="D99" s="1767"/>
      <c r="E99" s="1767"/>
      <c r="F99" s="1767"/>
      <c r="G99" s="1767"/>
      <c r="H99" s="1767"/>
      <c r="I99" s="1768"/>
      <c r="J99" s="49"/>
      <c r="K99" s="49"/>
    </row>
    <row r="100" spans="1:13" x14ac:dyDescent="0.25">
      <c r="A100" s="49"/>
      <c r="B100" s="1726" t="s">
        <v>927</v>
      </c>
      <c r="C100" s="1727"/>
      <c r="D100" s="1727"/>
      <c r="E100" s="1727"/>
      <c r="F100" s="1727"/>
      <c r="G100" s="1727"/>
      <c r="H100" s="1727"/>
      <c r="I100" s="1728"/>
      <c r="J100" s="49"/>
      <c r="K100" s="49"/>
    </row>
    <row r="101" spans="1:13" x14ac:dyDescent="0.25">
      <c r="A101" s="49"/>
      <c r="B101" s="1726" t="s">
        <v>928</v>
      </c>
      <c r="C101" s="1727"/>
      <c r="D101" s="1727"/>
      <c r="E101" s="1727"/>
      <c r="F101" s="1727"/>
      <c r="G101" s="1727"/>
      <c r="H101" s="1727"/>
      <c r="I101" s="1728"/>
      <c r="J101" s="49"/>
      <c r="K101" s="49"/>
    </row>
    <row r="102" spans="1:13" x14ac:dyDescent="0.25">
      <c r="A102" s="49"/>
      <c r="B102" s="1726" t="s">
        <v>994</v>
      </c>
      <c r="C102" s="1727"/>
      <c r="D102" s="1727"/>
      <c r="E102" s="1727"/>
      <c r="F102" s="1727"/>
      <c r="G102" s="1727"/>
      <c r="H102" s="1727"/>
      <c r="I102" s="1728"/>
      <c r="J102" s="49"/>
      <c r="K102" s="49"/>
    </row>
    <row r="103" spans="1:13" x14ac:dyDescent="0.25">
      <c r="A103" s="49"/>
      <c r="B103" s="1729" t="s">
        <v>995</v>
      </c>
      <c r="C103" s="1730"/>
      <c r="D103" s="1730"/>
      <c r="E103" s="1730"/>
      <c r="F103" s="1730"/>
      <c r="G103" s="1730"/>
      <c r="H103" s="1730"/>
      <c r="I103" s="1731"/>
      <c r="J103" s="49"/>
      <c r="K103" s="49"/>
    </row>
    <row r="104" spans="1:13" x14ac:dyDescent="0.25">
      <c r="A104" s="49"/>
      <c r="B104" s="49"/>
      <c r="C104" s="49"/>
      <c r="D104" s="49"/>
      <c r="E104" s="49"/>
      <c r="F104" s="49"/>
      <c r="G104" s="49"/>
      <c r="H104" s="49"/>
      <c r="I104" s="49"/>
      <c r="J104" s="49"/>
      <c r="K104" s="49"/>
    </row>
    <row r="105" spans="1:13" ht="15" customHeight="1" x14ac:dyDescent="0.25">
      <c r="A105" s="49"/>
      <c r="B105" s="1732" t="s">
        <v>1994</v>
      </c>
      <c r="C105" s="1733"/>
      <c r="D105" s="1733"/>
      <c r="E105" s="1733"/>
      <c r="F105" s="1733"/>
      <c r="G105" s="1733"/>
      <c r="H105" s="1733"/>
      <c r="I105" s="1734"/>
      <c r="J105" s="49"/>
      <c r="K105" s="49"/>
    </row>
    <row r="106" spans="1:13" ht="15" customHeight="1" x14ac:dyDescent="0.25">
      <c r="A106" s="49"/>
      <c r="B106" s="1726" t="s">
        <v>1995</v>
      </c>
      <c r="C106" s="1727"/>
      <c r="D106" s="1727"/>
      <c r="E106" s="1727"/>
      <c r="F106" s="1727"/>
      <c r="G106" s="1727"/>
      <c r="H106" s="1727"/>
      <c r="I106" s="1728"/>
      <c r="J106" s="49"/>
      <c r="K106" s="49"/>
    </row>
    <row r="107" spans="1:13" ht="15" customHeight="1" x14ac:dyDescent="0.25">
      <c r="A107" s="49"/>
      <c r="B107" s="1729" t="s">
        <v>1996</v>
      </c>
      <c r="C107" s="1730"/>
      <c r="D107" s="1730"/>
      <c r="E107" s="1730"/>
      <c r="F107" s="1730"/>
      <c r="G107" s="1730"/>
      <c r="H107" s="1730"/>
      <c r="I107" s="1731"/>
      <c r="J107" s="49"/>
      <c r="K107" s="49"/>
    </row>
    <row r="108" spans="1:13" x14ac:dyDescent="0.25">
      <c r="A108" s="49"/>
      <c r="B108" s="49"/>
      <c r="C108" s="49"/>
      <c r="D108" s="49"/>
      <c r="E108" s="49"/>
      <c r="F108" s="49"/>
      <c r="G108" s="49"/>
      <c r="H108" s="49"/>
      <c r="I108" s="49"/>
      <c r="J108" s="49"/>
      <c r="K108" s="49"/>
    </row>
    <row r="109" spans="1:13" x14ac:dyDescent="0.25">
      <c r="A109" s="49"/>
      <c r="B109" s="707" t="s">
        <v>992</v>
      </c>
      <c r="C109" s="49"/>
      <c r="D109" s="49"/>
      <c r="E109" s="49"/>
      <c r="F109" s="49"/>
      <c r="G109" s="49"/>
      <c r="H109" s="49"/>
      <c r="I109" s="49"/>
      <c r="J109" s="49"/>
      <c r="K109" s="49"/>
    </row>
    <row r="110" spans="1:13" ht="12.75" customHeight="1" x14ac:dyDescent="0.25">
      <c r="A110" s="49"/>
      <c r="B110" s="121"/>
      <c r="C110" s="49"/>
      <c r="D110" s="49"/>
      <c r="E110" s="49"/>
      <c r="F110" s="49"/>
      <c r="G110" s="49"/>
      <c r="H110" s="49"/>
      <c r="I110" s="49"/>
      <c r="J110" s="49"/>
      <c r="K110" s="49"/>
    </row>
    <row r="111" spans="1:13" ht="25.5" x14ac:dyDescent="0.25">
      <c r="A111" s="49"/>
      <c r="B111" s="577" t="s">
        <v>922</v>
      </c>
      <c r="C111" s="575" t="s">
        <v>924</v>
      </c>
      <c r="D111" s="575" t="s">
        <v>1015</v>
      </c>
      <c r="E111" s="573" t="s">
        <v>923</v>
      </c>
      <c r="F111" s="1629" t="s">
        <v>996</v>
      </c>
      <c r="G111" s="1629"/>
      <c r="H111" s="1092" t="s">
        <v>89</v>
      </c>
      <c r="I111" s="49"/>
      <c r="J111" s="49"/>
      <c r="K111" s="49"/>
    </row>
    <row r="112" spans="1:13" x14ac:dyDescent="0.25">
      <c r="A112" s="49"/>
      <c r="B112" s="576"/>
      <c r="C112" s="576" t="s">
        <v>62</v>
      </c>
      <c r="D112" s="576"/>
      <c r="E112" s="576"/>
      <c r="F112" s="1648" t="s">
        <v>62</v>
      </c>
      <c r="G112" s="1648"/>
      <c r="H112" s="1091" t="str">
        <f>IFERROR(IF(L112="","",IF(AND(L112="Yes",M112="Yes"),"Yes","No")),"")</f>
        <v/>
      </c>
      <c r="I112" s="49"/>
      <c r="J112" s="49"/>
      <c r="K112" s="49"/>
      <c r="L112" s="37" t="str">
        <f>IF(C112="Select","",IF(OR(C112="conference room",C112="passageway"),IF(OR(F112="occupancy sensor",F112="vacancy sensor + manual switch"),"Yes","No"),IF(AND(F112&lt;&gt;"none",F112&lt;&gt;"Select"),"Yes","No")))</f>
        <v/>
      </c>
      <c r="M112" s="37" t="e">
        <f>IF(AND(D112/E112&lt;=100,L112="Yes"),"Yes","No")</f>
        <v>#DIV/0!</v>
      </c>
    </row>
    <row r="113" spans="1:13" x14ac:dyDescent="0.25">
      <c r="A113" s="49"/>
      <c r="B113" s="574"/>
      <c r="C113" s="1094" t="s">
        <v>62</v>
      </c>
      <c r="D113" s="574"/>
      <c r="E113" s="574"/>
      <c r="F113" s="1648" t="s">
        <v>62</v>
      </c>
      <c r="G113" s="1648"/>
      <c r="H113" s="1091" t="str">
        <f t="shared" ref="H113:H131" si="3">IFERROR(IF(L113="","",IF(AND(L113="Yes",M113="Yes"),"Yes","No")),"")</f>
        <v/>
      </c>
      <c r="I113" s="49"/>
      <c r="J113" s="49"/>
      <c r="K113" s="49"/>
      <c r="L113" s="37" t="str">
        <f t="shared" ref="L113:L131" si="4">IF(C113="Select","",IF(OR(C113="conference room",C113="passageway"),IF(OR(F113="occupancy sensor",F113="vacancy sensor + manual switch"),"Yes","No"),IF(AND(F113&lt;&gt;"none",F113&lt;&gt;"Select"),"Yes","No")))</f>
        <v/>
      </c>
      <c r="M113" s="37" t="e">
        <f t="shared" ref="M113:M131" si="5">IF(AND(D113/E113&lt;=100,L113="Yes"),"Yes","No")</f>
        <v>#DIV/0!</v>
      </c>
    </row>
    <row r="114" spans="1:13" x14ac:dyDescent="0.25">
      <c r="A114" s="49"/>
      <c r="B114" s="574"/>
      <c r="C114" s="1094" t="s">
        <v>62</v>
      </c>
      <c r="D114" s="574"/>
      <c r="E114" s="574"/>
      <c r="F114" s="1648" t="s">
        <v>62</v>
      </c>
      <c r="G114" s="1648"/>
      <c r="H114" s="1091" t="str">
        <f t="shared" si="3"/>
        <v/>
      </c>
      <c r="I114" s="49"/>
      <c r="J114" s="49"/>
      <c r="K114" s="49"/>
      <c r="L114" s="37" t="str">
        <f t="shared" si="4"/>
        <v/>
      </c>
      <c r="M114" s="37" t="e">
        <f t="shared" si="5"/>
        <v>#DIV/0!</v>
      </c>
    </row>
    <row r="115" spans="1:13" x14ac:dyDescent="0.25">
      <c r="A115" s="49"/>
      <c r="B115" s="574"/>
      <c r="C115" s="1094" t="s">
        <v>62</v>
      </c>
      <c r="D115" s="574"/>
      <c r="E115" s="574"/>
      <c r="F115" s="1648" t="s">
        <v>62</v>
      </c>
      <c r="G115" s="1648"/>
      <c r="H115" s="1091" t="str">
        <f t="shared" si="3"/>
        <v/>
      </c>
      <c r="I115" s="49"/>
      <c r="J115" s="49"/>
      <c r="K115" s="49"/>
      <c r="L115" s="37" t="str">
        <f t="shared" si="4"/>
        <v/>
      </c>
      <c r="M115" s="37" t="e">
        <f t="shared" si="5"/>
        <v>#DIV/0!</v>
      </c>
    </row>
    <row r="116" spans="1:13" x14ac:dyDescent="0.25">
      <c r="A116" s="49"/>
      <c r="B116" s="574"/>
      <c r="C116" s="1094" t="s">
        <v>62</v>
      </c>
      <c r="D116" s="574"/>
      <c r="E116" s="574"/>
      <c r="F116" s="1648" t="s">
        <v>62</v>
      </c>
      <c r="G116" s="1648"/>
      <c r="H116" s="1091" t="str">
        <f t="shared" si="3"/>
        <v/>
      </c>
      <c r="I116" s="49"/>
      <c r="J116" s="49"/>
      <c r="K116" s="49"/>
      <c r="L116" s="37" t="str">
        <f t="shared" si="4"/>
        <v/>
      </c>
      <c r="M116" s="37" t="e">
        <f t="shared" si="5"/>
        <v>#DIV/0!</v>
      </c>
    </row>
    <row r="117" spans="1:13" x14ac:dyDescent="0.25">
      <c r="A117" s="49"/>
      <c r="B117" s="1238"/>
      <c r="C117" s="1237" t="s">
        <v>62</v>
      </c>
      <c r="D117" s="1238"/>
      <c r="E117" s="1238"/>
      <c r="F117" s="1648" t="s">
        <v>62</v>
      </c>
      <c r="G117" s="1648"/>
      <c r="H117" s="1235" t="str">
        <f t="shared" ref="H117:H121" si="6">IFERROR(IF(L117="","",IF(AND(L117="Yes",M117="Yes"),"Yes","No")),"")</f>
        <v/>
      </c>
      <c r="I117" s="49"/>
      <c r="J117" s="49"/>
      <c r="K117" s="49"/>
      <c r="L117" s="37" t="str">
        <f t="shared" ref="L117:L121" si="7">IF(C117="Select","",IF(OR(C117="conference room",C117="passageway"),IF(OR(F117="occupancy sensor",F117="vacancy sensor + manual switch"),"Yes","No"),IF(AND(F117&lt;&gt;"none",F117&lt;&gt;"Select"),"Yes","No")))</f>
        <v/>
      </c>
      <c r="M117" s="37" t="e">
        <f t="shared" ref="M117:M121" si="8">IF(AND(D117/E117&lt;=100,L117="Yes"),"Yes","No")</f>
        <v>#DIV/0!</v>
      </c>
    </row>
    <row r="118" spans="1:13" x14ac:dyDescent="0.25">
      <c r="A118" s="49"/>
      <c r="B118" s="1238"/>
      <c r="C118" s="1237" t="s">
        <v>62</v>
      </c>
      <c r="D118" s="1238"/>
      <c r="E118" s="1238"/>
      <c r="F118" s="1648" t="s">
        <v>62</v>
      </c>
      <c r="G118" s="1648"/>
      <c r="H118" s="1235" t="str">
        <f t="shared" si="6"/>
        <v/>
      </c>
      <c r="I118" s="49"/>
      <c r="J118" s="49"/>
      <c r="K118" s="49"/>
      <c r="L118" s="37" t="str">
        <f t="shared" si="7"/>
        <v/>
      </c>
      <c r="M118" s="37" t="e">
        <f t="shared" si="8"/>
        <v>#DIV/0!</v>
      </c>
    </row>
    <row r="119" spans="1:13" x14ac:dyDescent="0.25">
      <c r="A119" s="49"/>
      <c r="B119" s="1238"/>
      <c r="C119" s="1237" t="s">
        <v>62</v>
      </c>
      <c r="D119" s="1238"/>
      <c r="E119" s="1238"/>
      <c r="F119" s="1648" t="s">
        <v>62</v>
      </c>
      <c r="G119" s="1648"/>
      <c r="H119" s="1235" t="str">
        <f t="shared" si="6"/>
        <v/>
      </c>
      <c r="I119" s="49"/>
      <c r="J119" s="49"/>
      <c r="K119" s="49"/>
      <c r="L119" s="37" t="str">
        <f t="shared" si="7"/>
        <v/>
      </c>
      <c r="M119" s="37" t="e">
        <f t="shared" si="8"/>
        <v>#DIV/0!</v>
      </c>
    </row>
    <row r="120" spans="1:13" x14ac:dyDescent="0.25">
      <c r="A120" s="49"/>
      <c r="B120" s="1238"/>
      <c r="C120" s="1237" t="s">
        <v>62</v>
      </c>
      <c r="D120" s="1238"/>
      <c r="E120" s="1238"/>
      <c r="F120" s="1648" t="s">
        <v>62</v>
      </c>
      <c r="G120" s="1648"/>
      <c r="H120" s="1235" t="str">
        <f t="shared" si="6"/>
        <v/>
      </c>
      <c r="I120" s="49"/>
      <c r="J120" s="49"/>
      <c r="K120" s="49"/>
      <c r="L120" s="37" t="str">
        <f t="shared" si="7"/>
        <v/>
      </c>
      <c r="M120" s="37" t="e">
        <f t="shared" si="8"/>
        <v>#DIV/0!</v>
      </c>
    </row>
    <row r="121" spans="1:13" x14ac:dyDescent="0.25">
      <c r="A121" s="49"/>
      <c r="B121" s="1238"/>
      <c r="C121" s="1237" t="s">
        <v>62</v>
      </c>
      <c r="D121" s="1238"/>
      <c r="E121" s="1238"/>
      <c r="F121" s="1648" t="s">
        <v>62</v>
      </c>
      <c r="G121" s="1648"/>
      <c r="H121" s="1235" t="str">
        <f t="shared" si="6"/>
        <v/>
      </c>
      <c r="I121" s="49"/>
      <c r="J121" s="49"/>
      <c r="K121" s="49"/>
      <c r="L121" s="37" t="str">
        <f t="shared" si="7"/>
        <v/>
      </c>
      <c r="M121" s="37" t="e">
        <f t="shared" si="8"/>
        <v>#DIV/0!</v>
      </c>
    </row>
    <row r="122" spans="1:13" x14ac:dyDescent="0.25">
      <c r="A122" s="49"/>
      <c r="B122" s="574"/>
      <c r="C122" s="1094" t="s">
        <v>62</v>
      </c>
      <c r="D122" s="574"/>
      <c r="E122" s="574"/>
      <c r="F122" s="1648" t="s">
        <v>62</v>
      </c>
      <c r="G122" s="1648"/>
      <c r="H122" s="1091" t="str">
        <f t="shared" si="3"/>
        <v/>
      </c>
      <c r="I122" s="49"/>
      <c r="J122" s="49"/>
      <c r="K122" s="49"/>
      <c r="L122" s="37" t="str">
        <f t="shared" si="4"/>
        <v/>
      </c>
      <c r="M122" s="37" t="e">
        <f t="shared" si="5"/>
        <v>#DIV/0!</v>
      </c>
    </row>
    <row r="123" spans="1:13" x14ac:dyDescent="0.25">
      <c r="A123" s="49"/>
      <c r="B123" s="574"/>
      <c r="C123" s="1094" t="s">
        <v>62</v>
      </c>
      <c r="D123" s="574"/>
      <c r="E123" s="574"/>
      <c r="F123" s="1648" t="s">
        <v>62</v>
      </c>
      <c r="G123" s="1648"/>
      <c r="H123" s="1091" t="str">
        <f t="shared" si="3"/>
        <v/>
      </c>
      <c r="I123" s="49"/>
      <c r="J123" s="49"/>
      <c r="K123" s="49"/>
      <c r="L123" s="37" t="str">
        <f t="shared" si="4"/>
        <v/>
      </c>
      <c r="M123" s="37" t="e">
        <f t="shared" si="5"/>
        <v>#DIV/0!</v>
      </c>
    </row>
    <row r="124" spans="1:13" x14ac:dyDescent="0.25">
      <c r="A124" s="49"/>
      <c r="B124" s="574"/>
      <c r="C124" s="1094" t="s">
        <v>62</v>
      </c>
      <c r="D124" s="574"/>
      <c r="E124" s="574"/>
      <c r="F124" s="1648" t="s">
        <v>62</v>
      </c>
      <c r="G124" s="1648"/>
      <c r="H124" s="1091" t="str">
        <f t="shared" si="3"/>
        <v/>
      </c>
      <c r="I124" s="49"/>
      <c r="J124" s="49"/>
      <c r="K124" s="49"/>
      <c r="L124" s="37" t="str">
        <f t="shared" si="4"/>
        <v/>
      </c>
      <c r="M124" s="37" t="e">
        <f t="shared" si="5"/>
        <v>#DIV/0!</v>
      </c>
    </row>
    <row r="125" spans="1:13" x14ac:dyDescent="0.25">
      <c r="A125" s="49"/>
      <c r="B125" s="574"/>
      <c r="C125" s="1094" t="s">
        <v>62</v>
      </c>
      <c r="D125" s="574"/>
      <c r="E125" s="574"/>
      <c r="F125" s="1648" t="s">
        <v>62</v>
      </c>
      <c r="G125" s="1648"/>
      <c r="H125" s="1091" t="str">
        <f t="shared" si="3"/>
        <v/>
      </c>
      <c r="I125" s="49"/>
      <c r="J125" s="49"/>
      <c r="K125" s="49"/>
      <c r="L125" s="37" t="str">
        <f t="shared" si="4"/>
        <v/>
      </c>
      <c r="M125" s="37" t="e">
        <f t="shared" si="5"/>
        <v>#DIV/0!</v>
      </c>
    </row>
    <row r="126" spans="1:13" x14ac:dyDescent="0.25">
      <c r="A126" s="49"/>
      <c r="B126" s="574"/>
      <c r="C126" s="1094" t="s">
        <v>62</v>
      </c>
      <c r="D126" s="574"/>
      <c r="E126" s="574"/>
      <c r="F126" s="1648" t="s">
        <v>62</v>
      </c>
      <c r="G126" s="1648"/>
      <c r="H126" s="1091" t="str">
        <f t="shared" si="3"/>
        <v/>
      </c>
      <c r="I126" s="49"/>
      <c r="J126" s="49"/>
      <c r="K126" s="49"/>
      <c r="L126" s="37" t="str">
        <f t="shared" si="4"/>
        <v/>
      </c>
      <c r="M126" s="37" t="e">
        <f t="shared" si="5"/>
        <v>#DIV/0!</v>
      </c>
    </row>
    <row r="127" spans="1:13" x14ac:dyDescent="0.25">
      <c r="A127" s="49"/>
      <c r="B127" s="574"/>
      <c r="C127" s="1094" t="s">
        <v>62</v>
      </c>
      <c r="D127" s="574"/>
      <c r="E127" s="574"/>
      <c r="F127" s="1648" t="s">
        <v>62</v>
      </c>
      <c r="G127" s="1648"/>
      <c r="H127" s="1091" t="str">
        <f t="shared" si="3"/>
        <v/>
      </c>
      <c r="I127" s="49"/>
      <c r="J127" s="49"/>
      <c r="K127" s="49"/>
      <c r="L127" s="37" t="str">
        <f t="shared" si="4"/>
        <v/>
      </c>
      <c r="M127" s="37" t="e">
        <f t="shared" si="5"/>
        <v>#DIV/0!</v>
      </c>
    </row>
    <row r="128" spans="1:13" x14ac:dyDescent="0.25">
      <c r="A128" s="49"/>
      <c r="B128" s="574"/>
      <c r="C128" s="1094" t="s">
        <v>62</v>
      </c>
      <c r="D128" s="574"/>
      <c r="E128" s="574"/>
      <c r="F128" s="1648" t="s">
        <v>62</v>
      </c>
      <c r="G128" s="1648"/>
      <c r="H128" s="1091" t="str">
        <f t="shared" si="3"/>
        <v/>
      </c>
      <c r="I128" s="49"/>
      <c r="J128" s="49"/>
      <c r="K128" s="49"/>
      <c r="L128" s="37" t="str">
        <f t="shared" si="4"/>
        <v/>
      </c>
      <c r="M128" s="37" t="e">
        <f t="shared" si="5"/>
        <v>#DIV/0!</v>
      </c>
    </row>
    <row r="129" spans="1:13" x14ac:dyDescent="0.25">
      <c r="A129" s="49"/>
      <c r="B129" s="534"/>
      <c r="C129" s="1094" t="s">
        <v>62</v>
      </c>
      <c r="D129" s="534"/>
      <c r="E129" s="534"/>
      <c r="F129" s="1648" t="s">
        <v>62</v>
      </c>
      <c r="G129" s="1648"/>
      <c r="H129" s="1091" t="str">
        <f t="shared" si="3"/>
        <v/>
      </c>
      <c r="I129" s="49"/>
      <c r="J129" s="49"/>
      <c r="K129" s="49"/>
      <c r="L129" s="37" t="str">
        <f t="shared" si="4"/>
        <v/>
      </c>
      <c r="M129" s="37" t="e">
        <f t="shared" si="5"/>
        <v>#DIV/0!</v>
      </c>
    </row>
    <row r="130" spans="1:13" x14ac:dyDescent="0.25">
      <c r="A130" s="49"/>
      <c r="B130" s="534"/>
      <c r="C130" s="1094" t="s">
        <v>62</v>
      </c>
      <c r="D130" s="534"/>
      <c r="E130" s="534"/>
      <c r="F130" s="1648" t="s">
        <v>62</v>
      </c>
      <c r="G130" s="1648"/>
      <c r="H130" s="1091" t="str">
        <f t="shared" si="3"/>
        <v/>
      </c>
      <c r="I130" s="49"/>
      <c r="J130" s="49"/>
      <c r="K130" s="49"/>
      <c r="L130" s="37" t="str">
        <f t="shared" si="4"/>
        <v/>
      </c>
      <c r="M130" s="37" t="e">
        <f t="shared" si="5"/>
        <v>#DIV/0!</v>
      </c>
    </row>
    <row r="131" spans="1:13" x14ac:dyDescent="0.25">
      <c r="A131" s="49"/>
      <c r="B131" s="534"/>
      <c r="C131" s="1094" t="s">
        <v>62</v>
      </c>
      <c r="D131" s="534"/>
      <c r="E131" s="534"/>
      <c r="F131" s="1648" t="s">
        <v>62</v>
      </c>
      <c r="G131" s="1648"/>
      <c r="H131" s="1091" t="str">
        <f t="shared" si="3"/>
        <v/>
      </c>
      <c r="I131" s="49"/>
      <c r="J131" s="49"/>
      <c r="K131" s="49"/>
      <c r="L131" s="37" t="str">
        <f t="shared" si="4"/>
        <v/>
      </c>
      <c r="M131" s="37" t="e">
        <f t="shared" si="5"/>
        <v>#DIV/0!</v>
      </c>
    </row>
    <row r="132" spans="1:13" x14ac:dyDescent="0.25">
      <c r="A132" s="49"/>
      <c r="B132" s="49"/>
      <c r="C132" s="49"/>
      <c r="D132" s="49"/>
      <c r="E132" s="49"/>
      <c r="F132" s="49"/>
      <c r="G132" s="49"/>
      <c r="H132" s="49"/>
      <c r="I132" s="49"/>
      <c r="J132" s="49"/>
      <c r="K132" s="49"/>
    </row>
    <row r="133" spans="1:13" ht="18" customHeight="1" x14ac:dyDescent="0.25">
      <c r="A133" s="49"/>
      <c r="B133" s="1621" t="s">
        <v>993</v>
      </c>
      <c r="C133" s="1621"/>
      <c r="D133" s="130" t="str">
        <f>IF(AND(COUNTIF(M112:M131,"Yes")&gt;0,COUNTIF(M112:M131,"No")=0),"Yes","No")</f>
        <v>No</v>
      </c>
      <c r="E133" s="49"/>
      <c r="F133" s="49"/>
      <c r="G133" s="49"/>
      <c r="H133" s="49"/>
      <c r="I133" s="49"/>
      <c r="J133" s="49"/>
      <c r="K133" s="49"/>
    </row>
    <row r="134" spans="1:13" ht="18.75" customHeight="1" x14ac:dyDescent="0.25">
      <c r="A134" s="49"/>
      <c r="B134" s="49"/>
      <c r="C134" s="49"/>
      <c r="D134" s="49"/>
      <c r="E134" s="49"/>
      <c r="F134" s="49"/>
      <c r="G134" s="49"/>
      <c r="H134" s="49"/>
      <c r="I134" s="49"/>
      <c r="J134" s="49"/>
      <c r="K134" s="49"/>
    </row>
    <row r="135" spans="1:13" ht="16.5" customHeight="1" x14ac:dyDescent="0.25">
      <c r="A135" s="1677" t="s">
        <v>97</v>
      </c>
      <c r="B135" s="1677"/>
      <c r="C135" s="1677"/>
      <c r="D135" s="49"/>
      <c r="E135" s="49"/>
      <c r="F135" s="49"/>
      <c r="G135" s="49"/>
      <c r="H135" s="49"/>
      <c r="I135" s="49"/>
      <c r="J135" s="49"/>
      <c r="K135" s="49"/>
    </row>
    <row r="136" spans="1:13" x14ac:dyDescent="0.25">
      <c r="A136" s="49"/>
      <c r="B136" s="49"/>
      <c r="C136" s="49"/>
      <c r="D136" s="49"/>
      <c r="E136" s="49"/>
      <c r="F136" s="49"/>
      <c r="G136" s="49"/>
      <c r="H136" s="49"/>
      <c r="I136" s="49"/>
      <c r="J136" s="49"/>
      <c r="K136" s="49"/>
    </row>
    <row r="137" spans="1:13" ht="21" customHeight="1" x14ac:dyDescent="0.25">
      <c r="A137" s="48"/>
      <c r="B137" s="1627" t="s">
        <v>98</v>
      </c>
      <c r="C137" s="1628"/>
      <c r="D137" s="1628"/>
      <c r="E137" s="1628"/>
      <c r="F137" s="1628"/>
      <c r="G137" s="769" t="s">
        <v>1297</v>
      </c>
      <c r="H137" s="1629" t="s">
        <v>1298</v>
      </c>
      <c r="I137" s="1630"/>
      <c r="J137" s="49"/>
      <c r="K137" s="49"/>
    </row>
    <row r="138" spans="1:13" ht="30" customHeight="1" x14ac:dyDescent="0.25">
      <c r="A138" s="48"/>
      <c r="B138" s="1644" t="str">
        <f>Submittals!H23</f>
        <v>Select the Submission Stage in Project Information</v>
      </c>
      <c r="C138" s="1645"/>
      <c r="D138" s="1645"/>
      <c r="E138" s="1645"/>
      <c r="F138" s="1646"/>
      <c r="G138" s="1075" t="s">
        <v>62</v>
      </c>
      <c r="H138" s="1625"/>
      <c r="I138" s="1662"/>
      <c r="J138" s="49"/>
      <c r="K138" s="49"/>
      <c r="L138" s="37" t="str">
        <f>IF(OR(B138="/",B138="No evidence required at this submission stage"),"Yes",IF(G138="Submitted","Yes","No"))</f>
        <v>No</v>
      </c>
    </row>
    <row r="139" spans="1:13" ht="39.75" customHeight="1" x14ac:dyDescent="0.25">
      <c r="A139" s="48"/>
      <c r="B139" s="1644" t="str">
        <f>Submittals!H24</f>
        <v>Select the Submission Stage in Project Information</v>
      </c>
      <c r="C139" s="1645"/>
      <c r="D139" s="1645"/>
      <c r="E139" s="1645"/>
      <c r="F139" s="1646"/>
      <c r="G139" s="1075" t="s">
        <v>62</v>
      </c>
      <c r="H139" s="1625"/>
      <c r="I139" s="1662"/>
      <c r="J139" s="49"/>
      <c r="K139" s="49"/>
      <c r="L139" s="37" t="str">
        <f>IF(OR(B139="/",B139="No evidence required at this submission stage"),"Yes",IF(G139="Submitted","Yes","No"))</f>
        <v>No</v>
      </c>
    </row>
    <row r="140" spans="1:13" ht="19.5" customHeight="1" x14ac:dyDescent="0.25">
      <c r="A140" s="49"/>
      <c r="B140" s="49"/>
      <c r="C140" s="49"/>
      <c r="D140" s="49"/>
      <c r="E140" s="49"/>
      <c r="F140" s="49"/>
      <c r="G140" s="49"/>
      <c r="H140" s="49"/>
      <c r="I140" s="49"/>
      <c r="J140" s="49"/>
      <c r="K140" s="49"/>
    </row>
    <row r="141" spans="1:13" ht="16.5" customHeight="1" x14ac:dyDescent="0.25">
      <c r="A141" s="1677" t="s">
        <v>8</v>
      </c>
      <c r="B141" s="1677"/>
      <c r="C141" s="1677"/>
      <c r="D141" s="49"/>
      <c r="E141" s="49"/>
      <c r="F141" s="49"/>
      <c r="G141" s="49"/>
      <c r="H141" s="49"/>
      <c r="I141" s="49"/>
      <c r="J141" s="49"/>
      <c r="K141" s="49"/>
    </row>
    <row r="142" spans="1:13" ht="17.25" customHeight="1" x14ac:dyDescent="0.25">
      <c r="A142" s="49"/>
      <c r="B142" s="49"/>
      <c r="C142" s="49"/>
      <c r="D142" s="49"/>
      <c r="E142" s="49"/>
      <c r="F142" s="49"/>
      <c r="G142" s="49"/>
      <c r="H142" s="49"/>
      <c r="I142" s="49"/>
      <c r="J142" s="49"/>
      <c r="K142" s="49"/>
    </row>
    <row r="143" spans="1:13" ht="18" customHeight="1" x14ac:dyDescent="0.25">
      <c r="A143" s="49"/>
      <c r="B143" s="129" t="s">
        <v>19</v>
      </c>
      <c r="C143" s="8">
        <f>IF(D133="Yes",1,0)</f>
        <v>0</v>
      </c>
      <c r="D143" s="49"/>
      <c r="E143" s="49"/>
      <c r="F143" s="49"/>
      <c r="G143" s="49"/>
      <c r="H143" s="49"/>
      <c r="I143" s="49"/>
      <c r="J143" s="49"/>
      <c r="K143" s="49"/>
    </row>
    <row r="144" spans="1:13" ht="18" customHeight="1" x14ac:dyDescent="0.25">
      <c r="A144" s="49"/>
      <c r="B144" s="129" t="s">
        <v>151</v>
      </c>
      <c r="C144" s="7" t="str">
        <f>IF(AND(COUNTIF(L138:L139,"Yes")=2,C143&gt;0),"Yes","No")</f>
        <v>No</v>
      </c>
      <c r="D144" s="49"/>
      <c r="E144" s="49"/>
      <c r="F144" s="49"/>
      <c r="G144" s="49"/>
      <c r="H144" s="49"/>
      <c r="I144" s="49"/>
      <c r="J144" s="49"/>
      <c r="K144" s="49"/>
    </row>
    <row r="145" spans="1:11" ht="21" customHeight="1" x14ac:dyDescent="0.25">
      <c r="A145" s="49"/>
      <c r="B145" s="49"/>
      <c r="C145" s="49"/>
      <c r="D145" s="49"/>
      <c r="E145" s="49"/>
      <c r="F145" s="49"/>
      <c r="G145" s="49"/>
      <c r="H145" s="49"/>
      <c r="I145" s="49"/>
      <c r="J145" s="49"/>
      <c r="K145" s="49"/>
    </row>
    <row r="146" spans="1:11" ht="18" customHeight="1" x14ac:dyDescent="0.25">
      <c r="A146" s="1676" t="s">
        <v>2703</v>
      </c>
      <c r="B146" s="1676"/>
      <c r="C146" s="1676"/>
      <c r="D146" s="1676"/>
      <c r="E146" s="1676"/>
      <c r="F146" s="1676"/>
      <c r="G146" s="1676"/>
      <c r="H146" s="1676"/>
      <c r="I146" s="1676"/>
      <c r="J146" s="1676"/>
      <c r="K146" s="1676"/>
    </row>
    <row r="147" spans="1:11" ht="15" customHeight="1" x14ac:dyDescent="0.25">
      <c r="A147" s="49"/>
      <c r="B147" s="49"/>
      <c r="C147" s="49"/>
      <c r="D147" s="49"/>
      <c r="E147" s="49"/>
      <c r="F147" s="49"/>
      <c r="G147" s="49"/>
      <c r="H147" s="49"/>
      <c r="I147" s="49"/>
      <c r="J147" s="49"/>
      <c r="K147" s="49"/>
    </row>
    <row r="148" spans="1:11" ht="16.5" customHeight="1" x14ac:dyDescent="0.25">
      <c r="A148" s="1677" t="s">
        <v>117</v>
      </c>
      <c r="B148" s="1677"/>
      <c r="C148" s="1677"/>
      <c r="D148" s="49"/>
      <c r="E148" s="49"/>
      <c r="F148" s="49"/>
      <c r="G148" s="49"/>
      <c r="H148" s="49"/>
      <c r="I148" s="49"/>
      <c r="J148" s="49"/>
      <c r="K148" s="49"/>
    </row>
    <row r="149" spans="1:11" x14ac:dyDescent="0.25">
      <c r="A149" s="49"/>
      <c r="B149" s="49"/>
      <c r="C149" s="49"/>
      <c r="D149" s="49"/>
      <c r="E149" s="49"/>
      <c r="F149" s="49"/>
      <c r="G149" s="49"/>
      <c r="H149" s="49"/>
      <c r="I149" s="49"/>
      <c r="J149" s="49"/>
      <c r="K149" s="49"/>
    </row>
    <row r="150" spans="1:11" x14ac:dyDescent="0.25">
      <c r="A150" s="49"/>
      <c r="B150" s="669" t="s">
        <v>813</v>
      </c>
      <c r="C150" s="49"/>
      <c r="D150" s="49"/>
      <c r="E150" s="49"/>
      <c r="F150" s="48"/>
      <c r="G150" s="48"/>
      <c r="H150" s="48"/>
      <c r="I150" s="48"/>
      <c r="J150" s="49"/>
      <c r="K150" s="49"/>
    </row>
    <row r="151" spans="1:11" ht="14.25" customHeight="1" x14ac:dyDescent="0.25">
      <c r="A151" s="49"/>
      <c r="B151" s="49"/>
      <c r="C151" s="49"/>
      <c r="D151" s="49"/>
      <c r="E151" s="49"/>
      <c r="F151" s="49"/>
      <c r="G151" s="49"/>
      <c r="H151" s="49"/>
      <c r="I151" s="49"/>
      <c r="J151" s="49"/>
      <c r="K151" s="49"/>
    </row>
    <row r="152" spans="1:11" ht="9" customHeight="1" x14ac:dyDescent="0.25">
      <c r="A152" s="49"/>
      <c r="B152" s="506"/>
      <c r="C152" s="49"/>
      <c r="D152" s="49"/>
      <c r="E152" s="49"/>
      <c r="F152" s="49"/>
      <c r="G152" s="49"/>
      <c r="H152" s="49"/>
      <c r="I152" s="49"/>
      <c r="J152" s="49"/>
      <c r="K152" s="49"/>
    </row>
    <row r="153" spans="1:11" x14ac:dyDescent="0.25">
      <c r="A153" s="49"/>
      <c r="B153" s="1735" t="s">
        <v>1998</v>
      </c>
      <c r="C153" s="1736"/>
      <c r="D153" s="1736"/>
      <c r="E153" s="1736"/>
      <c r="F153" s="1736"/>
      <c r="G153" s="1736"/>
      <c r="H153" s="1736"/>
      <c r="I153" s="1737"/>
      <c r="J153" s="49"/>
      <c r="K153" s="49"/>
    </row>
    <row r="154" spans="1:11" ht="35.25" customHeight="1" x14ac:dyDescent="0.25">
      <c r="A154" s="49"/>
      <c r="B154" s="1637" t="s">
        <v>1997</v>
      </c>
      <c r="C154" s="1638"/>
      <c r="D154" s="1638"/>
      <c r="E154" s="1638"/>
      <c r="F154" s="1638"/>
      <c r="G154" s="1638"/>
      <c r="H154" s="1638"/>
      <c r="I154" s="1639"/>
      <c r="J154" s="49"/>
      <c r="K154" s="49"/>
    </row>
    <row r="155" spans="1:11" ht="69.75" customHeight="1" x14ac:dyDescent="0.25">
      <c r="A155" s="49"/>
      <c r="B155" s="1640" t="s">
        <v>1999</v>
      </c>
      <c r="C155" s="1641"/>
      <c r="D155" s="1641"/>
      <c r="E155" s="1641"/>
      <c r="F155" s="1641"/>
      <c r="G155" s="1641"/>
      <c r="H155" s="1641"/>
      <c r="I155" s="1642"/>
      <c r="J155" s="49"/>
      <c r="K155" s="49"/>
    </row>
    <row r="156" spans="1:11" x14ac:dyDescent="0.25">
      <c r="A156" s="49"/>
      <c r="B156" s="507"/>
      <c r="C156" s="507"/>
      <c r="D156" s="507"/>
      <c r="E156" s="507"/>
      <c r="F156" s="507"/>
      <c r="G156" s="507"/>
      <c r="H156" s="507"/>
      <c r="I156" s="507"/>
      <c r="J156" s="49"/>
      <c r="K156" s="49"/>
    </row>
    <row r="157" spans="1:11" x14ac:dyDescent="0.25">
      <c r="A157" s="49"/>
      <c r="B157" s="49"/>
      <c r="C157" s="49"/>
      <c r="D157" s="49"/>
      <c r="E157" s="1765" t="s">
        <v>811</v>
      </c>
      <c r="F157" s="1765"/>
      <c r="G157" s="1765"/>
      <c r="H157" s="1765"/>
      <c r="I157" s="1765"/>
      <c r="J157" s="1765"/>
      <c r="K157" s="1765"/>
    </row>
    <row r="158" spans="1:11" x14ac:dyDescent="0.25">
      <c r="A158" s="49"/>
      <c r="B158" s="49"/>
      <c r="C158" s="49"/>
      <c r="D158" s="49"/>
      <c r="E158" s="49"/>
      <c r="F158" s="49"/>
      <c r="G158" s="49"/>
      <c r="H158" s="49"/>
      <c r="I158" s="49"/>
      <c r="J158" s="49"/>
      <c r="K158" s="49"/>
    </row>
    <row r="159" spans="1:11" x14ac:dyDescent="0.25">
      <c r="A159" s="49"/>
      <c r="B159" s="49"/>
      <c r="C159" s="49"/>
      <c r="D159" s="49"/>
      <c r="E159" s="49"/>
      <c r="F159" s="49"/>
      <c r="G159" s="49"/>
      <c r="H159" s="49"/>
      <c r="I159" s="49"/>
      <c r="J159" s="49"/>
      <c r="K159" s="49"/>
    </row>
    <row r="160" spans="1:11" x14ac:dyDescent="0.25">
      <c r="A160" s="1765" t="s">
        <v>812</v>
      </c>
      <c r="B160" s="1765"/>
      <c r="C160" s="1765"/>
      <c r="D160" s="1765"/>
      <c r="E160" s="1765"/>
      <c r="F160" s="49"/>
      <c r="G160" s="49"/>
      <c r="H160" s="49"/>
      <c r="I160" s="49"/>
      <c r="J160" s="49"/>
      <c r="K160" s="49"/>
    </row>
    <row r="161" spans="1:11" x14ac:dyDescent="0.25">
      <c r="A161" s="49"/>
      <c r="B161" s="49"/>
      <c r="C161" s="49"/>
      <c r="D161" s="49"/>
      <c r="E161" s="49"/>
      <c r="F161" s="49"/>
      <c r="G161" s="49"/>
      <c r="H161" s="49"/>
      <c r="I161" s="49"/>
      <c r="J161" s="49"/>
      <c r="K161" s="49"/>
    </row>
    <row r="162" spans="1:11" x14ac:dyDescent="0.25">
      <c r="A162" s="49"/>
      <c r="B162" s="49"/>
      <c r="C162" s="49"/>
      <c r="D162" s="49"/>
      <c r="E162" s="49"/>
      <c r="F162" s="49"/>
      <c r="G162" s="49"/>
      <c r="H162" s="49"/>
      <c r="I162" s="49"/>
      <c r="J162" s="49"/>
      <c r="K162" s="49"/>
    </row>
    <row r="163" spans="1:11" x14ac:dyDescent="0.25">
      <c r="A163" s="49"/>
      <c r="B163" s="49"/>
      <c r="C163" s="49"/>
      <c r="D163" s="49"/>
      <c r="E163" s="49"/>
      <c r="F163" s="49"/>
      <c r="G163" s="49"/>
      <c r="H163" s="49"/>
      <c r="I163" s="49"/>
      <c r="J163" s="49"/>
      <c r="K163" s="49"/>
    </row>
    <row r="164" spans="1:11" x14ac:dyDescent="0.25">
      <c r="A164" s="49"/>
      <c r="B164" s="49"/>
      <c r="C164" s="49"/>
      <c r="D164" s="49"/>
      <c r="E164" s="49"/>
      <c r="F164" s="49"/>
      <c r="G164" s="49"/>
      <c r="H164" s="49"/>
      <c r="I164" s="49"/>
      <c r="J164" s="49"/>
      <c r="K164" s="49"/>
    </row>
    <row r="165" spans="1:11" x14ac:dyDescent="0.25">
      <c r="A165" s="49"/>
      <c r="B165" s="49"/>
      <c r="C165" s="49"/>
      <c r="D165" s="49"/>
      <c r="E165" s="49"/>
      <c r="F165" s="49"/>
      <c r="G165" s="49"/>
      <c r="H165" s="49"/>
      <c r="I165" s="49"/>
      <c r="J165" s="49"/>
      <c r="K165" s="49"/>
    </row>
    <row r="166" spans="1:11" x14ac:dyDescent="0.25">
      <c r="A166" s="49"/>
      <c r="B166" s="49"/>
      <c r="C166" s="49"/>
      <c r="D166" s="49"/>
      <c r="E166" s="49"/>
      <c r="F166" s="49"/>
      <c r="G166" s="49"/>
      <c r="H166" s="49"/>
      <c r="I166" s="49"/>
      <c r="J166" s="49"/>
      <c r="K166" s="49"/>
    </row>
    <row r="167" spans="1:11" x14ac:dyDescent="0.25">
      <c r="A167" s="49"/>
      <c r="B167" s="49"/>
      <c r="C167" s="49"/>
      <c r="D167" s="49"/>
      <c r="E167" s="49"/>
      <c r="F167" s="49"/>
      <c r="G167" s="49"/>
      <c r="H167" s="49"/>
      <c r="I167" s="49"/>
      <c r="J167" s="49"/>
      <c r="K167" s="49"/>
    </row>
    <row r="168" spans="1:11" x14ac:dyDescent="0.25">
      <c r="A168" s="49"/>
      <c r="B168" s="49"/>
      <c r="C168" s="49"/>
      <c r="D168" s="49"/>
      <c r="E168" s="49"/>
      <c r="F168" s="49"/>
      <c r="G168" s="49"/>
      <c r="H168" s="49"/>
      <c r="I168" s="49"/>
      <c r="J168" s="49"/>
      <c r="K168" s="49"/>
    </row>
    <row r="169" spans="1:11" x14ac:dyDescent="0.25">
      <c r="A169" s="49"/>
      <c r="B169" s="49"/>
      <c r="C169" s="49"/>
      <c r="D169" s="49"/>
      <c r="E169" s="49"/>
      <c r="F169" s="49"/>
      <c r="G169" s="49"/>
      <c r="H169" s="49"/>
      <c r="I169" s="49"/>
      <c r="J169" s="49"/>
      <c r="K169" s="49"/>
    </row>
    <row r="170" spans="1:11" x14ac:dyDescent="0.25">
      <c r="A170" s="49"/>
      <c r="B170" s="49"/>
      <c r="C170" s="49"/>
      <c r="D170" s="49"/>
      <c r="E170" s="49"/>
      <c r="F170" s="49"/>
      <c r="G170" s="49"/>
      <c r="H170" s="49"/>
      <c r="I170" s="49"/>
      <c r="J170" s="49"/>
      <c r="K170" s="49"/>
    </row>
    <row r="171" spans="1:11" x14ac:dyDescent="0.25">
      <c r="A171" s="49"/>
      <c r="B171" s="49"/>
      <c r="C171" s="49"/>
      <c r="D171" s="49"/>
      <c r="E171" s="49"/>
      <c r="F171" s="49"/>
      <c r="G171" s="49"/>
      <c r="H171" s="49"/>
      <c r="I171" s="49"/>
      <c r="J171" s="49"/>
      <c r="K171" s="49"/>
    </row>
    <row r="172" spans="1:11" x14ac:dyDescent="0.25">
      <c r="A172" s="49"/>
      <c r="B172" s="49"/>
      <c r="C172" s="49"/>
      <c r="D172" s="49"/>
      <c r="E172" s="49"/>
      <c r="F172" s="49"/>
      <c r="G172" s="49"/>
      <c r="H172" s="49"/>
      <c r="I172" s="49"/>
      <c r="J172" s="49"/>
      <c r="K172" s="49"/>
    </row>
    <row r="173" spans="1:11" x14ac:dyDescent="0.25">
      <c r="A173" s="49"/>
      <c r="B173" s="49"/>
      <c r="C173" s="49"/>
      <c r="D173" s="49"/>
      <c r="E173" s="49"/>
      <c r="F173" s="49"/>
      <c r="G173" s="49"/>
      <c r="H173" s="49"/>
      <c r="I173" s="49"/>
      <c r="J173" s="49"/>
      <c r="K173" s="49"/>
    </row>
    <row r="174" spans="1:11" x14ac:dyDescent="0.25">
      <c r="A174" s="49"/>
      <c r="B174" s="49"/>
      <c r="C174" s="49"/>
      <c r="D174" s="49"/>
      <c r="E174" s="49"/>
      <c r="F174" s="49"/>
      <c r="G174" s="49"/>
      <c r="H174" s="49"/>
      <c r="I174" s="49"/>
      <c r="J174" s="49"/>
      <c r="K174" s="49"/>
    </row>
    <row r="175" spans="1:11" x14ac:dyDescent="0.25">
      <c r="A175" s="49"/>
      <c r="B175" s="49"/>
      <c r="C175" s="49"/>
      <c r="D175" s="49"/>
      <c r="E175" s="49"/>
      <c r="F175" s="49"/>
      <c r="G175" s="49"/>
      <c r="H175" s="49"/>
      <c r="I175" s="49"/>
      <c r="J175" s="49"/>
      <c r="K175" s="49"/>
    </row>
    <row r="176" spans="1:11" x14ac:dyDescent="0.25">
      <c r="A176" s="49"/>
      <c r="B176" s="49"/>
      <c r="C176" s="49"/>
      <c r="D176" s="49"/>
      <c r="E176" s="49"/>
      <c r="F176" s="49"/>
      <c r="G176" s="49"/>
      <c r="H176" s="49"/>
      <c r="I176" s="49"/>
      <c r="J176" s="49"/>
      <c r="K176" s="49"/>
    </row>
    <row r="177" spans="1:11" x14ac:dyDescent="0.25">
      <c r="A177" s="49"/>
      <c r="B177" s="49"/>
      <c r="C177" s="49"/>
      <c r="D177" s="49"/>
      <c r="E177" s="49"/>
      <c r="F177" s="49"/>
      <c r="G177" s="49"/>
      <c r="H177" s="49"/>
      <c r="I177" s="49"/>
      <c r="J177" s="49"/>
      <c r="K177" s="49"/>
    </row>
    <row r="178" spans="1:11" x14ac:dyDescent="0.25">
      <c r="A178" s="49"/>
      <c r="B178" s="49"/>
      <c r="C178" s="49"/>
      <c r="D178" s="49"/>
      <c r="E178" s="49"/>
      <c r="F178" s="49"/>
      <c r="G178" s="49"/>
      <c r="H178" s="49"/>
      <c r="I178" s="49"/>
      <c r="J178" s="49"/>
      <c r="K178" s="49"/>
    </row>
    <row r="179" spans="1:11" x14ac:dyDescent="0.25">
      <c r="A179" s="49"/>
      <c r="B179" s="49"/>
      <c r="C179" s="49"/>
      <c r="D179" s="49"/>
      <c r="E179" s="49"/>
      <c r="F179" s="49"/>
      <c r="G179" s="49"/>
      <c r="H179" s="49"/>
      <c r="I179" s="49"/>
      <c r="J179" s="49"/>
      <c r="K179" s="49"/>
    </row>
    <row r="180" spans="1:11" x14ac:dyDescent="0.25">
      <c r="A180" s="49"/>
      <c r="B180" s="49"/>
      <c r="C180" s="49"/>
      <c r="D180" s="49"/>
      <c r="E180" s="49"/>
      <c r="F180" s="49"/>
      <c r="G180" s="49"/>
      <c r="H180" s="49"/>
      <c r="I180" s="49"/>
      <c r="J180" s="49"/>
      <c r="K180" s="49"/>
    </row>
    <row r="181" spans="1:11" x14ac:dyDescent="0.25">
      <c r="A181" s="49"/>
      <c r="B181" s="49"/>
      <c r="C181" s="49"/>
      <c r="D181" s="49"/>
      <c r="E181" s="49"/>
      <c r="F181" s="49"/>
      <c r="G181" s="49"/>
      <c r="H181" s="49"/>
      <c r="I181" s="49"/>
      <c r="J181" s="49"/>
      <c r="K181" s="49"/>
    </row>
    <row r="182" spans="1:11" x14ac:dyDescent="0.25">
      <c r="A182" s="49"/>
      <c r="B182" s="49"/>
      <c r="C182" s="49"/>
      <c r="D182" s="49"/>
      <c r="E182" s="49"/>
      <c r="F182" s="49"/>
      <c r="G182" s="49"/>
      <c r="H182" s="49"/>
      <c r="I182" s="49"/>
      <c r="J182" s="49"/>
      <c r="K182" s="49"/>
    </row>
    <row r="183" spans="1:11" x14ac:dyDescent="0.25">
      <c r="A183" s="49"/>
      <c r="B183" s="1723" t="s">
        <v>925</v>
      </c>
      <c r="C183" s="1724"/>
      <c r="D183" s="1724"/>
      <c r="E183" s="1724"/>
      <c r="F183" s="1724"/>
      <c r="G183" s="1724"/>
      <c r="H183" s="1724"/>
      <c r="I183" s="1725"/>
      <c r="J183" s="49"/>
      <c r="K183" s="49"/>
    </row>
    <row r="184" spans="1:11" x14ac:dyDescent="0.25">
      <c r="A184" s="49"/>
      <c r="B184" s="1717" t="s">
        <v>814</v>
      </c>
      <c r="C184" s="1718"/>
      <c r="D184" s="1718"/>
      <c r="E184" s="1718"/>
      <c r="F184" s="1718"/>
      <c r="G184" s="1718"/>
      <c r="H184" s="1718"/>
      <c r="I184" s="1719"/>
      <c r="J184" s="49"/>
      <c r="K184" s="49"/>
    </row>
    <row r="185" spans="1:11" x14ac:dyDescent="0.25">
      <c r="A185" s="49"/>
      <c r="B185" s="1717" t="s">
        <v>815</v>
      </c>
      <c r="C185" s="1718"/>
      <c r="D185" s="1718"/>
      <c r="E185" s="1718"/>
      <c r="F185" s="1718"/>
      <c r="G185" s="1718"/>
      <c r="H185" s="1718"/>
      <c r="I185" s="1719"/>
      <c r="J185" s="49"/>
      <c r="K185" s="49"/>
    </row>
    <row r="186" spans="1:11" x14ac:dyDescent="0.25">
      <c r="A186" s="49"/>
      <c r="B186" s="1720" t="s">
        <v>810</v>
      </c>
      <c r="C186" s="1721"/>
      <c r="D186" s="1721"/>
      <c r="E186" s="1721"/>
      <c r="F186" s="1721"/>
      <c r="G186" s="1721"/>
      <c r="H186" s="1721"/>
      <c r="I186" s="1722"/>
      <c r="J186" s="49"/>
      <c r="K186" s="49"/>
    </row>
    <row r="187" spans="1:11" ht="12" customHeight="1" x14ac:dyDescent="0.25">
      <c r="A187" s="49"/>
      <c r="B187" s="508"/>
      <c r="C187" s="49"/>
      <c r="D187" s="49"/>
      <c r="E187" s="49"/>
      <c r="F187" s="49"/>
      <c r="G187" s="49"/>
      <c r="H187" s="49"/>
      <c r="I187" s="49"/>
      <c r="J187" s="49"/>
      <c r="K187" s="49"/>
    </row>
    <row r="188" spans="1:11" ht="18" customHeight="1" x14ac:dyDescent="0.25">
      <c r="A188" s="49"/>
      <c r="B188" s="1752" t="s">
        <v>820</v>
      </c>
      <c r="C188" s="1752"/>
      <c r="D188" s="1752"/>
      <c r="E188" s="1752"/>
      <c r="F188" s="1752"/>
      <c r="G188" s="1752"/>
      <c r="H188" s="1752"/>
      <c r="I188" s="1752"/>
      <c r="J188" s="49"/>
      <c r="K188" s="49"/>
    </row>
    <row r="189" spans="1:11" ht="18" customHeight="1" x14ac:dyDescent="0.25">
      <c r="A189" s="49"/>
      <c r="B189" s="1752"/>
      <c r="C189" s="1752"/>
      <c r="D189" s="1752"/>
      <c r="E189" s="1752"/>
      <c r="F189" s="1752"/>
      <c r="G189" s="1752"/>
      <c r="H189" s="1752"/>
      <c r="I189" s="1752"/>
      <c r="J189" s="49"/>
      <c r="K189" s="49"/>
    </row>
    <row r="190" spans="1:11" x14ac:dyDescent="0.25">
      <c r="A190" s="49"/>
      <c r="B190" s="510"/>
      <c r="C190" s="510"/>
      <c r="D190" s="510"/>
      <c r="E190" s="510"/>
      <c r="F190" s="510"/>
      <c r="G190" s="510"/>
      <c r="H190" s="510"/>
      <c r="I190" s="510"/>
      <c r="J190" s="49"/>
      <c r="K190" s="49"/>
    </row>
    <row r="191" spans="1:11" ht="18" customHeight="1" x14ac:dyDescent="0.25">
      <c r="A191" s="49"/>
      <c r="B191" s="692" t="s">
        <v>816</v>
      </c>
      <c r="C191" s="49"/>
      <c r="D191" s="49"/>
      <c r="E191" s="49"/>
      <c r="F191" s="49"/>
      <c r="G191" s="49"/>
      <c r="H191" s="49"/>
      <c r="I191" s="49"/>
      <c r="J191" s="49"/>
      <c r="K191" s="49"/>
    </row>
    <row r="192" spans="1:11" ht="12" customHeight="1" x14ac:dyDescent="0.25">
      <c r="A192" s="49"/>
      <c r="B192" s="509"/>
      <c r="C192" s="49"/>
      <c r="D192" s="49"/>
      <c r="E192" s="49"/>
      <c r="F192" s="49"/>
      <c r="G192" s="49"/>
      <c r="H192" s="49"/>
      <c r="I192" s="49"/>
      <c r="J192" s="49"/>
      <c r="K192" s="49"/>
    </row>
    <row r="193" spans="1:13" ht="26.25" customHeight="1" x14ac:dyDescent="0.25">
      <c r="A193" s="49"/>
      <c r="B193" s="459" t="s">
        <v>99</v>
      </c>
      <c r="C193" s="460" t="s">
        <v>809</v>
      </c>
      <c r="D193" s="458" t="s">
        <v>808</v>
      </c>
      <c r="E193" s="460" t="s">
        <v>817</v>
      </c>
      <c r="F193" s="460" t="s">
        <v>818</v>
      </c>
      <c r="G193" s="460" t="s">
        <v>819</v>
      </c>
      <c r="H193" s="461" t="s">
        <v>15</v>
      </c>
      <c r="I193" s="49"/>
      <c r="J193" s="49"/>
      <c r="K193" s="49"/>
    </row>
    <row r="194" spans="1:13" x14ac:dyDescent="0.25">
      <c r="A194" s="49"/>
      <c r="B194" s="457"/>
      <c r="C194" s="457"/>
      <c r="D194" s="457" t="s">
        <v>62</v>
      </c>
      <c r="E194" s="457" t="s">
        <v>62</v>
      </c>
      <c r="F194" s="457" t="s">
        <v>62</v>
      </c>
      <c r="G194" s="457" t="s">
        <v>62</v>
      </c>
      <c r="H194" s="457"/>
      <c r="I194" s="49"/>
      <c r="J194" s="49"/>
      <c r="K194" s="49"/>
      <c r="L194" s="37" t="str">
        <f>IF(AND(B194&lt;&gt;"",C194&lt;&gt;""),IF(OR(D194="Select",D194="no lighting control"),"No",IF(D194="independent manual switch","Yes",M194)),"")</f>
        <v/>
      </c>
      <c r="M194" s="37" t="b">
        <f>IF(E194="half the depth of the potentially daylit area",IF(F194="No","Yes",IF(AND(F194="Yes",G194="Yes"),"Yes","No")))</f>
        <v>0</v>
      </c>
    </row>
    <row r="195" spans="1:13" x14ac:dyDescent="0.25">
      <c r="A195" s="49"/>
      <c r="B195" s="457"/>
      <c r="C195" s="457"/>
      <c r="D195" s="457" t="s">
        <v>62</v>
      </c>
      <c r="E195" s="457" t="s">
        <v>62</v>
      </c>
      <c r="F195" s="457" t="s">
        <v>62</v>
      </c>
      <c r="G195" s="457" t="s">
        <v>62</v>
      </c>
      <c r="H195" s="457"/>
      <c r="I195" s="49"/>
      <c r="J195" s="49"/>
      <c r="K195" s="49"/>
      <c r="L195" s="37" t="str">
        <f t="shared" ref="L195:L208" si="9">IF(OR(B195&lt;&gt;"",C195&lt;&gt;""),IF(OR(D195="Select",D195="no lighting control"),"No",IF(D195="independent manual switch","Yes",M195)),"")</f>
        <v/>
      </c>
      <c r="M195" s="37" t="b">
        <f t="shared" ref="M195:M208" si="10">IF(E195="half the depth of the potentially daylit area",IF(F195="No","Yes",IF(AND(F195="Yes",G195="Yes"),"Yes","No")))</f>
        <v>0</v>
      </c>
    </row>
    <row r="196" spans="1:13" x14ac:dyDescent="0.25">
      <c r="A196" s="49"/>
      <c r="B196" s="457"/>
      <c r="C196" s="457"/>
      <c r="D196" s="457" t="s">
        <v>62</v>
      </c>
      <c r="E196" s="457" t="s">
        <v>62</v>
      </c>
      <c r="F196" s="457" t="s">
        <v>62</v>
      </c>
      <c r="G196" s="457" t="s">
        <v>62</v>
      </c>
      <c r="H196" s="457"/>
      <c r="I196" s="49"/>
      <c r="J196" s="49"/>
      <c r="K196" s="49"/>
      <c r="L196" s="37" t="str">
        <f t="shared" si="9"/>
        <v/>
      </c>
      <c r="M196" s="37" t="b">
        <f t="shared" si="10"/>
        <v>0</v>
      </c>
    </row>
    <row r="197" spans="1:13" x14ac:dyDescent="0.25">
      <c r="A197" s="49"/>
      <c r="B197" s="457"/>
      <c r="C197" s="457"/>
      <c r="D197" s="457" t="s">
        <v>62</v>
      </c>
      <c r="E197" s="457" t="s">
        <v>62</v>
      </c>
      <c r="F197" s="457" t="s">
        <v>62</v>
      </c>
      <c r="G197" s="457" t="s">
        <v>62</v>
      </c>
      <c r="H197" s="457"/>
      <c r="I197" s="49"/>
      <c r="J197" s="49"/>
      <c r="K197" s="49"/>
      <c r="L197" s="37" t="str">
        <f t="shared" ref="L197:L203" si="11">IF(OR(B197&lt;&gt;"",C197&lt;&gt;""),IF(OR(D197="Select",D197="no lighting control"),"No",IF(D197="independent manual switch","Yes",M197)),"")</f>
        <v/>
      </c>
      <c r="M197" s="37" t="b">
        <f t="shared" ref="M197:M203" si="12">IF(E197="half the depth of the potentially daylit area",IF(F197="No","Yes",IF(AND(F197="Yes",G197="Yes"),"Yes","No")))</f>
        <v>0</v>
      </c>
    </row>
    <row r="198" spans="1:13" x14ac:dyDescent="0.25">
      <c r="A198" s="49"/>
      <c r="B198" s="1238"/>
      <c r="C198" s="1238"/>
      <c r="D198" s="1238" t="s">
        <v>62</v>
      </c>
      <c r="E198" s="1238" t="s">
        <v>62</v>
      </c>
      <c r="F198" s="1238" t="s">
        <v>62</v>
      </c>
      <c r="G198" s="1238" t="s">
        <v>62</v>
      </c>
      <c r="H198" s="1238"/>
      <c r="I198" s="49"/>
      <c r="J198" s="49"/>
      <c r="K198" s="49"/>
      <c r="L198" s="37" t="str">
        <f t="shared" si="11"/>
        <v/>
      </c>
      <c r="M198" s="37" t="b">
        <f t="shared" si="12"/>
        <v>0</v>
      </c>
    </row>
    <row r="199" spans="1:13" x14ac:dyDescent="0.25">
      <c r="A199" s="49"/>
      <c r="B199" s="1238"/>
      <c r="C199" s="1238"/>
      <c r="D199" s="1238" t="s">
        <v>62</v>
      </c>
      <c r="E199" s="1238" t="s">
        <v>62</v>
      </c>
      <c r="F199" s="1238" t="s">
        <v>62</v>
      </c>
      <c r="G199" s="1238" t="s">
        <v>62</v>
      </c>
      <c r="H199" s="1238"/>
      <c r="I199" s="49"/>
      <c r="J199" s="49"/>
      <c r="K199" s="49"/>
      <c r="L199" s="37" t="str">
        <f t="shared" si="11"/>
        <v/>
      </c>
      <c r="M199" s="37" t="b">
        <f t="shared" si="12"/>
        <v>0</v>
      </c>
    </row>
    <row r="200" spans="1:13" x14ac:dyDescent="0.25">
      <c r="A200" s="49"/>
      <c r="B200" s="1238"/>
      <c r="C200" s="1238"/>
      <c r="D200" s="1238" t="s">
        <v>62</v>
      </c>
      <c r="E200" s="1238" t="s">
        <v>62</v>
      </c>
      <c r="F200" s="1238" t="s">
        <v>62</v>
      </c>
      <c r="G200" s="1238" t="s">
        <v>62</v>
      </c>
      <c r="H200" s="1238"/>
      <c r="I200" s="49"/>
      <c r="J200" s="49"/>
      <c r="K200" s="49"/>
      <c r="L200" s="37" t="str">
        <f t="shared" si="11"/>
        <v/>
      </c>
      <c r="M200" s="37" t="b">
        <f t="shared" si="12"/>
        <v>0</v>
      </c>
    </row>
    <row r="201" spans="1:13" x14ac:dyDescent="0.25">
      <c r="A201" s="49"/>
      <c r="B201" s="1238"/>
      <c r="C201" s="1238"/>
      <c r="D201" s="1238" t="s">
        <v>62</v>
      </c>
      <c r="E201" s="1238" t="s">
        <v>62</v>
      </c>
      <c r="F201" s="1238" t="s">
        <v>62</v>
      </c>
      <c r="G201" s="1238" t="s">
        <v>62</v>
      </c>
      <c r="H201" s="1238"/>
      <c r="I201" s="49"/>
      <c r="J201" s="49"/>
      <c r="K201" s="49"/>
      <c r="L201" s="37" t="str">
        <f t="shared" si="11"/>
        <v/>
      </c>
      <c r="M201" s="37" t="b">
        <f t="shared" si="12"/>
        <v>0</v>
      </c>
    </row>
    <row r="202" spans="1:13" x14ac:dyDescent="0.25">
      <c r="A202" s="49"/>
      <c r="B202" s="1238"/>
      <c r="C202" s="1238"/>
      <c r="D202" s="1238" t="s">
        <v>62</v>
      </c>
      <c r="E202" s="1238" t="s">
        <v>62</v>
      </c>
      <c r="F202" s="1238" t="s">
        <v>62</v>
      </c>
      <c r="G202" s="1238" t="s">
        <v>62</v>
      </c>
      <c r="H202" s="1238"/>
      <c r="I202" s="49"/>
      <c r="J202" s="49"/>
      <c r="K202" s="49"/>
      <c r="L202" s="37" t="str">
        <f t="shared" si="11"/>
        <v/>
      </c>
      <c r="M202" s="37" t="b">
        <f t="shared" si="12"/>
        <v>0</v>
      </c>
    </row>
    <row r="203" spans="1:13" x14ac:dyDescent="0.25">
      <c r="A203" s="49"/>
      <c r="B203" s="457"/>
      <c r="C203" s="457"/>
      <c r="D203" s="457" t="s">
        <v>62</v>
      </c>
      <c r="E203" s="457" t="s">
        <v>62</v>
      </c>
      <c r="F203" s="457" t="s">
        <v>62</v>
      </c>
      <c r="G203" s="457" t="s">
        <v>62</v>
      </c>
      <c r="H203" s="457"/>
      <c r="I203" s="49"/>
      <c r="J203" s="49"/>
      <c r="K203" s="49"/>
      <c r="L203" s="37" t="str">
        <f t="shared" si="11"/>
        <v/>
      </c>
      <c r="M203" s="37" t="b">
        <f t="shared" si="12"/>
        <v>0</v>
      </c>
    </row>
    <row r="204" spans="1:13" x14ac:dyDescent="0.25">
      <c r="A204" s="49"/>
      <c r="B204" s="457"/>
      <c r="C204" s="457"/>
      <c r="D204" s="457" t="s">
        <v>62</v>
      </c>
      <c r="E204" s="457" t="s">
        <v>62</v>
      </c>
      <c r="F204" s="457" t="s">
        <v>62</v>
      </c>
      <c r="G204" s="457" t="s">
        <v>62</v>
      </c>
      <c r="H204" s="457"/>
      <c r="I204" s="49"/>
      <c r="J204" s="49"/>
      <c r="K204" s="49"/>
      <c r="L204" s="37" t="str">
        <f t="shared" si="9"/>
        <v/>
      </c>
      <c r="M204" s="37" t="b">
        <f t="shared" si="10"/>
        <v>0</v>
      </c>
    </row>
    <row r="205" spans="1:13" x14ac:dyDescent="0.25">
      <c r="A205" s="49"/>
      <c r="B205" s="457"/>
      <c r="C205" s="457"/>
      <c r="D205" s="457" t="s">
        <v>62</v>
      </c>
      <c r="E205" s="457" t="s">
        <v>62</v>
      </c>
      <c r="F205" s="457" t="s">
        <v>62</v>
      </c>
      <c r="G205" s="457" t="s">
        <v>62</v>
      </c>
      <c r="H205" s="457"/>
      <c r="I205" s="49"/>
      <c r="J205" s="49"/>
      <c r="K205" s="49"/>
      <c r="L205" s="37" t="str">
        <f t="shared" si="9"/>
        <v/>
      </c>
      <c r="M205" s="37" t="b">
        <f t="shared" si="10"/>
        <v>0</v>
      </c>
    </row>
    <row r="206" spans="1:13" x14ac:dyDescent="0.25">
      <c r="A206" s="49"/>
      <c r="B206" s="457"/>
      <c r="C206" s="457"/>
      <c r="D206" s="457" t="s">
        <v>62</v>
      </c>
      <c r="E206" s="457" t="s">
        <v>62</v>
      </c>
      <c r="F206" s="457" t="s">
        <v>62</v>
      </c>
      <c r="G206" s="457" t="s">
        <v>62</v>
      </c>
      <c r="H206" s="457"/>
      <c r="I206" s="49"/>
      <c r="J206" s="49"/>
      <c r="K206" s="49"/>
      <c r="L206" s="37" t="str">
        <f t="shared" si="9"/>
        <v/>
      </c>
      <c r="M206" s="37" t="b">
        <f t="shared" si="10"/>
        <v>0</v>
      </c>
    </row>
    <row r="207" spans="1:13" x14ac:dyDescent="0.25">
      <c r="A207" s="49"/>
      <c r="B207" s="457"/>
      <c r="C207" s="457"/>
      <c r="D207" s="457" t="s">
        <v>62</v>
      </c>
      <c r="E207" s="457" t="s">
        <v>62</v>
      </c>
      <c r="F207" s="457" t="s">
        <v>62</v>
      </c>
      <c r="G207" s="457" t="s">
        <v>62</v>
      </c>
      <c r="H207" s="457"/>
      <c r="I207" s="49"/>
      <c r="J207" s="49"/>
      <c r="K207" s="49"/>
      <c r="L207" s="37" t="str">
        <f t="shared" si="9"/>
        <v/>
      </c>
      <c r="M207" s="37" t="b">
        <f t="shared" si="10"/>
        <v>0</v>
      </c>
    </row>
    <row r="208" spans="1:13" x14ac:dyDescent="0.25">
      <c r="A208" s="49"/>
      <c r="B208" s="457"/>
      <c r="C208" s="457"/>
      <c r="D208" s="457" t="s">
        <v>62</v>
      </c>
      <c r="E208" s="457" t="s">
        <v>62</v>
      </c>
      <c r="F208" s="457" t="s">
        <v>62</v>
      </c>
      <c r="G208" s="457" t="s">
        <v>62</v>
      </c>
      <c r="H208" s="457"/>
      <c r="I208" s="49"/>
      <c r="J208" s="49"/>
      <c r="K208" s="49"/>
      <c r="L208" s="37" t="str">
        <f t="shared" si="9"/>
        <v/>
      </c>
      <c r="M208" s="37" t="b">
        <f t="shared" si="10"/>
        <v>0</v>
      </c>
    </row>
    <row r="209" spans="1:12" x14ac:dyDescent="0.25">
      <c r="A209" s="49"/>
      <c r="B209" s="121"/>
      <c r="C209" s="49"/>
      <c r="D209" s="49"/>
      <c r="E209" s="49"/>
      <c r="F209" s="49"/>
      <c r="G209" s="49"/>
      <c r="H209" s="49"/>
      <c r="I209" s="49"/>
      <c r="J209" s="49"/>
      <c r="K209" s="49"/>
    </row>
    <row r="210" spans="1:12" ht="18" customHeight="1" x14ac:dyDescent="0.25">
      <c r="A210" s="49"/>
      <c r="B210" s="1621" t="s">
        <v>821</v>
      </c>
      <c r="C210" s="1621"/>
      <c r="D210" s="130" t="str">
        <f>IF(AND(COUNTIF(L194:L208,"Yes")&gt;0,COUNTIF(L194:L208,"No")=0),"Yes","No")</f>
        <v>No</v>
      </c>
      <c r="E210" s="49"/>
      <c r="F210" s="49"/>
      <c r="G210" s="49"/>
      <c r="H210" s="49"/>
      <c r="I210" s="49"/>
      <c r="J210" s="49"/>
      <c r="K210" s="49"/>
    </row>
    <row r="211" spans="1:12" ht="18.75" customHeight="1" x14ac:dyDescent="0.25">
      <c r="A211" s="49"/>
      <c r="B211" s="49"/>
      <c r="C211" s="49"/>
      <c r="D211" s="49"/>
      <c r="E211" s="49"/>
      <c r="F211" s="49"/>
      <c r="G211" s="49"/>
      <c r="H211" s="49"/>
      <c r="I211" s="49"/>
      <c r="J211" s="49"/>
      <c r="K211" s="49"/>
    </row>
    <row r="212" spans="1:12" ht="16.5" customHeight="1" x14ac:dyDescent="0.25">
      <c r="A212" s="1677" t="s">
        <v>97</v>
      </c>
      <c r="B212" s="1677"/>
      <c r="C212" s="1677"/>
      <c r="D212" s="49"/>
      <c r="E212" s="49"/>
      <c r="F212" s="49"/>
      <c r="G212" s="49"/>
      <c r="H212" s="49"/>
      <c r="I212" s="49"/>
      <c r="J212" s="49"/>
      <c r="K212" s="49"/>
    </row>
    <row r="213" spans="1:12" x14ac:dyDescent="0.25">
      <c r="A213" s="49"/>
      <c r="B213" s="49"/>
      <c r="C213" s="49"/>
      <c r="D213" s="49"/>
      <c r="E213" s="49"/>
      <c r="F213" s="49"/>
      <c r="G213" s="49"/>
      <c r="H213" s="49"/>
      <c r="I213" s="49"/>
      <c r="J213" s="49"/>
      <c r="K213" s="49"/>
    </row>
    <row r="214" spans="1:12" ht="21" customHeight="1" x14ac:dyDescent="0.25">
      <c r="A214" s="48"/>
      <c r="B214" s="1627" t="s">
        <v>98</v>
      </c>
      <c r="C214" s="1628"/>
      <c r="D214" s="1628"/>
      <c r="E214" s="1628"/>
      <c r="F214" s="1628"/>
      <c r="G214" s="769" t="s">
        <v>1297</v>
      </c>
      <c r="H214" s="1629" t="s">
        <v>1298</v>
      </c>
      <c r="I214" s="1630"/>
      <c r="J214" s="49"/>
      <c r="K214" s="49"/>
    </row>
    <row r="215" spans="1:12" ht="30" customHeight="1" x14ac:dyDescent="0.25">
      <c r="A215" s="48"/>
      <c r="B215" s="1644" t="str">
        <f>Submittals!H25</f>
        <v>Select the Submission Stage in Project Information</v>
      </c>
      <c r="C215" s="1645"/>
      <c r="D215" s="1645"/>
      <c r="E215" s="1645"/>
      <c r="F215" s="1646"/>
      <c r="G215" s="1075" t="s">
        <v>62</v>
      </c>
      <c r="H215" s="1625"/>
      <c r="I215" s="1662"/>
      <c r="J215" s="49"/>
      <c r="K215" s="49"/>
      <c r="L215" s="37" t="str">
        <f>IF(OR(B215="/",B215="No evidence required at this submission stage"),"Yes",IF(G215="Submitted","Yes","No"))</f>
        <v>No</v>
      </c>
    </row>
    <row r="216" spans="1:12" ht="41.25" customHeight="1" x14ac:dyDescent="0.25">
      <c r="A216" s="48"/>
      <c r="B216" s="1644" t="str">
        <f>Submittals!H26</f>
        <v>Select the Submission Stage in Project Information</v>
      </c>
      <c r="C216" s="1645"/>
      <c r="D216" s="1645"/>
      <c r="E216" s="1645"/>
      <c r="F216" s="1646"/>
      <c r="G216" s="1075" t="s">
        <v>62</v>
      </c>
      <c r="H216" s="1625"/>
      <c r="I216" s="1662"/>
      <c r="J216" s="49"/>
      <c r="K216" s="49"/>
      <c r="L216" s="37" t="str">
        <f>IF(OR(B216="/",B216="No evidence required at this submission stage"),"Yes",IF(G216="Submitted","Yes","No"))</f>
        <v>No</v>
      </c>
    </row>
    <row r="217" spans="1:12" ht="19.5" customHeight="1" x14ac:dyDescent="0.25">
      <c r="A217" s="49"/>
      <c r="B217" s="49"/>
      <c r="C217" s="49"/>
      <c r="D217" s="49"/>
      <c r="E217" s="49"/>
      <c r="F217" s="49"/>
      <c r="G217" s="49"/>
      <c r="H217" s="49"/>
      <c r="I217" s="49"/>
      <c r="J217" s="49"/>
      <c r="K217" s="49"/>
    </row>
    <row r="218" spans="1:12" ht="16.5" customHeight="1" x14ac:dyDescent="0.25">
      <c r="A218" s="1677" t="s">
        <v>8</v>
      </c>
      <c r="B218" s="1677"/>
      <c r="C218" s="1677"/>
      <c r="D218" s="49"/>
      <c r="E218" s="49"/>
      <c r="F218" s="49"/>
      <c r="G218" s="49"/>
      <c r="H218" s="49"/>
      <c r="I218" s="49"/>
      <c r="J218" s="49"/>
      <c r="K218" s="49"/>
    </row>
    <row r="219" spans="1:12" x14ac:dyDescent="0.25">
      <c r="A219" s="49"/>
      <c r="B219" s="49"/>
      <c r="C219" s="49"/>
      <c r="D219" s="49"/>
      <c r="E219" s="49"/>
      <c r="F219" s="49"/>
      <c r="G219" s="49"/>
      <c r="H219" s="49"/>
      <c r="I219" s="49"/>
      <c r="J219" s="49"/>
      <c r="K219" s="49"/>
    </row>
    <row r="220" spans="1:12" ht="18" customHeight="1" x14ac:dyDescent="0.25">
      <c r="A220" s="49"/>
      <c r="B220" s="129" t="s">
        <v>19</v>
      </c>
      <c r="C220" s="8">
        <f>IF(D210="Yes",1,0)</f>
        <v>0</v>
      </c>
      <c r="D220" s="49"/>
      <c r="E220" s="49"/>
      <c r="F220" s="49"/>
      <c r="G220" s="49"/>
      <c r="H220" s="49"/>
      <c r="I220" s="49"/>
      <c r="J220" s="49"/>
      <c r="K220" s="49"/>
    </row>
    <row r="221" spans="1:12" ht="18" customHeight="1" x14ac:dyDescent="0.25">
      <c r="A221" s="49"/>
      <c r="B221" s="129" t="s">
        <v>151</v>
      </c>
      <c r="C221" s="7" t="str">
        <f>IF(AND(COUNTIF(L215:L216,"Yes")=2,C220&gt;0),"Yes","No")</f>
        <v>No</v>
      </c>
      <c r="D221" s="49"/>
      <c r="E221" s="49"/>
      <c r="F221" s="49"/>
      <c r="G221" s="49"/>
      <c r="H221" s="49"/>
      <c r="I221" s="49"/>
      <c r="J221" s="49"/>
      <c r="K221" s="49"/>
    </row>
    <row r="222" spans="1:12" ht="21" customHeight="1" x14ac:dyDescent="0.25">
      <c r="A222" s="49"/>
      <c r="B222" s="49"/>
      <c r="C222" s="49"/>
      <c r="D222" s="49"/>
      <c r="E222" s="49"/>
      <c r="F222" s="49"/>
      <c r="G222" s="49"/>
      <c r="H222" s="49"/>
      <c r="I222" s="49"/>
      <c r="J222" s="49"/>
      <c r="K222" s="49"/>
    </row>
    <row r="223" spans="1:12" ht="18" customHeight="1" x14ac:dyDescent="0.25">
      <c r="A223" s="1676" t="s">
        <v>2553</v>
      </c>
      <c r="B223" s="1676"/>
      <c r="C223" s="1676"/>
      <c r="D223" s="1676"/>
      <c r="E223" s="1676"/>
      <c r="F223" s="1676"/>
      <c r="G223" s="1676"/>
      <c r="H223" s="1676"/>
      <c r="I223" s="1676"/>
      <c r="J223" s="1676"/>
      <c r="K223" s="1676"/>
    </row>
    <row r="224" spans="1:12" ht="15" customHeight="1" x14ac:dyDescent="0.25">
      <c r="A224" s="49"/>
      <c r="B224" s="49"/>
      <c r="C224" s="49"/>
      <c r="D224" s="49"/>
      <c r="E224" s="49"/>
      <c r="F224" s="49"/>
      <c r="G224" s="49"/>
      <c r="H224" s="49"/>
      <c r="I224" s="49"/>
      <c r="J224" s="49"/>
      <c r="K224" s="49"/>
    </row>
    <row r="225" spans="1:13" ht="17.25" customHeight="1" x14ac:dyDescent="0.25">
      <c r="A225" s="1677" t="s">
        <v>117</v>
      </c>
      <c r="B225" s="1677"/>
      <c r="C225" s="1677"/>
      <c r="D225" s="49"/>
      <c r="E225" s="49"/>
      <c r="F225" s="49"/>
      <c r="G225" s="49"/>
      <c r="H225" s="49"/>
      <c r="I225" s="49"/>
      <c r="J225" s="49"/>
      <c r="K225" s="49"/>
    </row>
    <row r="226" spans="1:13" ht="12" customHeight="1" x14ac:dyDescent="0.25">
      <c r="A226" s="49"/>
      <c r="B226" s="49"/>
      <c r="C226" s="49"/>
      <c r="D226" s="49"/>
      <c r="E226" s="49"/>
      <c r="F226" s="49"/>
      <c r="G226" s="49"/>
      <c r="H226" s="49"/>
      <c r="I226" s="49"/>
      <c r="J226" s="49"/>
      <c r="K226" s="49"/>
    </row>
    <row r="227" spans="1:13" x14ac:dyDescent="0.25">
      <c r="A227" s="49"/>
      <c r="B227" s="121" t="s">
        <v>1205</v>
      </c>
      <c r="C227" s="49"/>
      <c r="D227" s="49"/>
      <c r="E227" s="49"/>
      <c r="F227" s="49"/>
      <c r="G227" s="49"/>
      <c r="H227" s="49"/>
      <c r="I227" s="49"/>
      <c r="J227" s="49"/>
      <c r="K227" s="49"/>
    </row>
    <row r="228" spans="1:13" ht="9" customHeight="1" x14ac:dyDescent="0.25">
      <c r="A228" s="49"/>
      <c r="B228" s="49"/>
      <c r="C228" s="49"/>
      <c r="D228" s="49"/>
      <c r="E228" s="49"/>
      <c r="F228" s="49"/>
      <c r="G228" s="49"/>
      <c r="H228" s="49"/>
      <c r="I228" s="49"/>
      <c r="J228" s="49"/>
      <c r="K228" s="49"/>
    </row>
    <row r="229" spans="1:13" ht="15.75" customHeight="1" x14ac:dyDescent="0.25">
      <c r="A229" s="49"/>
      <c r="B229" s="1776" t="s">
        <v>1106</v>
      </c>
      <c r="C229" s="1753"/>
      <c r="D229" s="1753"/>
      <c r="E229" s="1753"/>
      <c r="F229" s="1753"/>
      <c r="G229" s="1753"/>
      <c r="H229" s="1754"/>
      <c r="I229" s="49"/>
      <c r="J229" s="49"/>
      <c r="K229" s="49"/>
    </row>
    <row r="230" spans="1:13" ht="15.75" customHeight="1" x14ac:dyDescent="0.25">
      <c r="A230" s="49"/>
      <c r="B230" s="1770" t="s">
        <v>1107</v>
      </c>
      <c r="C230" s="1771"/>
      <c r="D230" s="1771"/>
      <c r="E230" s="1771"/>
      <c r="F230" s="1771"/>
      <c r="G230" s="1771"/>
      <c r="H230" s="1772"/>
      <c r="I230" s="49"/>
      <c r="J230" s="49"/>
      <c r="K230" s="49"/>
    </row>
    <row r="231" spans="1:13" ht="15.75" customHeight="1" x14ac:dyDescent="0.25">
      <c r="A231" s="49"/>
      <c r="B231" s="1773" t="s">
        <v>1108</v>
      </c>
      <c r="C231" s="1774"/>
      <c r="D231" s="1774"/>
      <c r="E231" s="1774"/>
      <c r="F231" s="1774"/>
      <c r="G231" s="1774"/>
      <c r="H231" s="1775"/>
      <c r="I231" s="49"/>
      <c r="J231" s="49"/>
      <c r="K231" s="49"/>
    </row>
    <row r="232" spans="1:13" x14ac:dyDescent="0.25">
      <c r="A232" s="49"/>
      <c r="B232" s="49"/>
      <c r="C232" s="49"/>
      <c r="D232" s="49"/>
      <c r="E232" s="49"/>
      <c r="F232" s="49"/>
      <c r="G232" s="49"/>
      <c r="H232" s="49"/>
      <c r="I232" s="49"/>
      <c r="J232" s="49"/>
      <c r="K232" s="49"/>
    </row>
    <row r="233" spans="1:13" x14ac:dyDescent="0.25">
      <c r="A233" s="49"/>
      <c r="B233" s="707" t="s">
        <v>1004</v>
      </c>
      <c r="C233" s="49"/>
      <c r="D233" s="49"/>
      <c r="E233" s="49"/>
      <c r="F233" s="49"/>
      <c r="G233" s="49"/>
      <c r="H233" s="49"/>
      <c r="I233" s="49"/>
      <c r="J233" s="49"/>
      <c r="K233" s="49"/>
    </row>
    <row r="234" spans="1:13" ht="13.5" customHeight="1" x14ac:dyDescent="0.25">
      <c r="A234" s="49"/>
      <c r="B234" s="49"/>
      <c r="C234" s="49"/>
      <c r="D234" s="49"/>
      <c r="E234" s="49"/>
      <c r="F234" s="49"/>
      <c r="G234" s="49"/>
      <c r="H234" s="49"/>
      <c r="I234" s="49"/>
      <c r="J234" s="49"/>
      <c r="K234" s="49"/>
    </row>
    <row r="235" spans="1:13" ht="18" customHeight="1" x14ac:dyDescent="0.25">
      <c r="A235" s="49"/>
      <c r="B235" s="1620" t="s">
        <v>970</v>
      </c>
      <c r="C235" s="1620"/>
      <c r="D235" s="1620"/>
      <c r="E235" s="569" t="s">
        <v>62</v>
      </c>
      <c r="F235" s="49"/>
      <c r="G235" s="49"/>
      <c r="H235" s="49"/>
      <c r="I235" s="49"/>
      <c r="J235" s="49"/>
      <c r="K235" s="49"/>
      <c r="L235" s="57" t="b">
        <v>0</v>
      </c>
      <c r="M235" s="57" t="b">
        <v>0</v>
      </c>
    </row>
    <row r="236" spans="1:13" ht="18" customHeight="1" x14ac:dyDescent="0.25">
      <c r="A236" s="49"/>
      <c r="B236" s="1644" t="s">
        <v>972</v>
      </c>
      <c r="C236" s="1645"/>
      <c r="D236" s="1646"/>
      <c r="E236" s="727" t="s">
        <v>62</v>
      </c>
      <c r="F236" s="49"/>
      <c r="G236" s="49"/>
      <c r="H236" s="49"/>
      <c r="I236" s="49"/>
      <c r="J236" s="49"/>
      <c r="K236" s="49"/>
      <c r="L236" s="57" t="b">
        <v>0</v>
      </c>
      <c r="M236" s="57" t="b">
        <v>0</v>
      </c>
    </row>
    <row r="237" spans="1:13" ht="10.5" customHeight="1" x14ac:dyDescent="0.25">
      <c r="A237" s="49"/>
      <c r="B237" s="49"/>
      <c r="C237" s="49"/>
      <c r="D237" s="49"/>
      <c r="E237" s="49"/>
      <c r="F237" s="49"/>
      <c r="G237" s="49"/>
      <c r="H237" s="49"/>
      <c r="I237" s="49"/>
      <c r="J237" s="49"/>
      <c r="K237" s="49"/>
    </row>
    <row r="238" spans="1:13" ht="18" customHeight="1" x14ac:dyDescent="0.25">
      <c r="A238" s="49"/>
      <c r="B238" s="1620" t="s">
        <v>971</v>
      </c>
      <c r="C238" s="1620"/>
      <c r="D238" s="1620"/>
      <c r="E238" s="727" t="s">
        <v>62</v>
      </c>
      <c r="F238" s="49"/>
      <c r="G238" s="49"/>
      <c r="H238" s="49"/>
      <c r="I238" s="49"/>
      <c r="J238" s="49"/>
      <c r="K238" s="49"/>
      <c r="L238" s="57" t="b">
        <v>0</v>
      </c>
      <c r="M238" s="57" t="b">
        <v>0</v>
      </c>
    </row>
    <row r="239" spans="1:13" ht="18" customHeight="1" x14ac:dyDescent="0.25">
      <c r="A239" s="49"/>
      <c r="B239" s="1620" t="s">
        <v>973</v>
      </c>
      <c r="C239" s="1620"/>
      <c r="D239" s="1620"/>
      <c r="E239" s="727" t="s">
        <v>62</v>
      </c>
      <c r="F239" s="49"/>
      <c r="G239" s="49"/>
      <c r="H239" s="49"/>
      <c r="I239" s="49"/>
      <c r="J239" s="49"/>
      <c r="K239" s="49"/>
      <c r="L239" s="57" t="b">
        <v>0</v>
      </c>
      <c r="M239" s="57" t="b">
        <v>0</v>
      </c>
    </row>
    <row r="240" spans="1:13" x14ac:dyDescent="0.25">
      <c r="A240" s="49"/>
      <c r="B240" s="49"/>
      <c r="C240" s="49"/>
      <c r="D240" s="49"/>
      <c r="E240" s="49"/>
      <c r="F240" s="49"/>
      <c r="G240" s="49"/>
      <c r="H240" s="49"/>
      <c r="I240" s="49"/>
      <c r="J240" s="49"/>
      <c r="K240" s="49"/>
    </row>
    <row r="241" spans="1:11" ht="18" customHeight="1" x14ac:dyDescent="0.25">
      <c r="A241" s="49"/>
      <c r="B241" s="1621" t="s">
        <v>969</v>
      </c>
      <c r="C241" s="1621"/>
      <c r="D241" s="130" t="str">
        <f>IF(AND(E235="Yes",E236="Yes"),"Yes",IF(AND(E238="Yes",E239="Yes"),"Yes","No"))</f>
        <v>No</v>
      </c>
      <c r="E241" s="49"/>
      <c r="F241" s="49"/>
      <c r="G241" s="49"/>
      <c r="H241" s="49"/>
      <c r="I241" s="49"/>
      <c r="J241" s="49"/>
      <c r="K241" s="49"/>
    </row>
    <row r="242" spans="1:11" ht="21" customHeight="1" x14ac:dyDescent="0.25">
      <c r="A242" s="49"/>
      <c r="B242" s="49"/>
      <c r="C242" s="49"/>
      <c r="D242" s="49"/>
      <c r="E242" s="49"/>
      <c r="F242" s="49"/>
      <c r="G242" s="49"/>
      <c r="H242" s="49"/>
      <c r="I242" s="49"/>
      <c r="J242" s="49"/>
      <c r="K242" s="49"/>
    </row>
    <row r="243" spans="1:11" x14ac:dyDescent="0.25">
      <c r="A243" s="49"/>
      <c r="B243" s="121" t="s">
        <v>1206</v>
      </c>
      <c r="C243" s="49"/>
      <c r="D243" s="49"/>
      <c r="E243" s="49"/>
      <c r="F243" s="49"/>
      <c r="G243" s="49"/>
      <c r="H243" s="49"/>
      <c r="I243" s="49"/>
      <c r="J243" s="49"/>
      <c r="K243" s="49"/>
    </row>
    <row r="244" spans="1:11" ht="9" customHeight="1" x14ac:dyDescent="0.25">
      <c r="A244" s="49"/>
      <c r="B244" s="121"/>
      <c r="C244" s="49"/>
      <c r="D244" s="49"/>
      <c r="E244" s="49"/>
      <c r="F244" s="49"/>
      <c r="G244" s="49"/>
      <c r="H244" s="49"/>
      <c r="I244" s="49"/>
      <c r="J244" s="49"/>
      <c r="K244" s="49"/>
    </row>
    <row r="245" spans="1:11" ht="18" customHeight="1" x14ac:dyDescent="0.25">
      <c r="A245" s="49"/>
      <c r="B245" s="1746" t="s">
        <v>965</v>
      </c>
      <c r="C245" s="1747"/>
      <c r="D245" s="1747"/>
      <c r="E245" s="1747"/>
      <c r="F245" s="1747"/>
      <c r="G245" s="1747"/>
      <c r="H245" s="1748"/>
      <c r="I245" s="49"/>
      <c r="J245" s="49"/>
      <c r="K245" s="49"/>
    </row>
    <row r="246" spans="1:11" ht="18" customHeight="1" x14ac:dyDescent="0.25">
      <c r="A246" s="49"/>
      <c r="B246" s="1749"/>
      <c r="C246" s="1750"/>
      <c r="D246" s="1750"/>
      <c r="E246" s="1750"/>
      <c r="F246" s="1750"/>
      <c r="G246" s="1750"/>
      <c r="H246" s="1751"/>
      <c r="I246" s="49"/>
      <c r="J246" s="49"/>
      <c r="K246" s="49"/>
    </row>
    <row r="247" spans="1:11" x14ac:dyDescent="0.25">
      <c r="A247" s="49"/>
      <c r="B247" s="49"/>
      <c r="C247" s="49"/>
      <c r="D247" s="49"/>
      <c r="E247" s="49"/>
      <c r="F247" s="49"/>
      <c r="G247" s="49"/>
      <c r="H247" s="49"/>
      <c r="I247" s="49"/>
      <c r="J247" s="49"/>
      <c r="K247" s="49"/>
    </row>
    <row r="248" spans="1:11" x14ac:dyDescent="0.25">
      <c r="A248" s="49"/>
      <c r="B248" s="616" t="s">
        <v>963</v>
      </c>
      <c r="C248" s="49"/>
      <c r="D248" s="49"/>
      <c r="E248" s="49"/>
      <c r="F248" s="49"/>
      <c r="G248" s="49"/>
      <c r="H248" s="49"/>
      <c r="I248" s="49"/>
      <c r="J248" s="49"/>
      <c r="K248" s="49"/>
    </row>
    <row r="249" spans="1:11" x14ac:dyDescent="0.25">
      <c r="A249" s="49"/>
      <c r="B249" s="368"/>
      <c r="C249" s="49"/>
      <c r="D249" s="49"/>
      <c r="E249" s="49"/>
      <c r="F249" s="49"/>
      <c r="G249" s="49"/>
      <c r="H249" s="49"/>
      <c r="I249" s="49"/>
      <c r="J249" s="49"/>
      <c r="K249" s="49"/>
    </row>
    <row r="250" spans="1:11" x14ac:dyDescent="0.25">
      <c r="A250" s="49"/>
      <c r="B250" s="616" t="s">
        <v>964</v>
      </c>
      <c r="C250" s="49"/>
      <c r="D250" s="49"/>
      <c r="E250" s="49"/>
      <c r="F250" s="49"/>
      <c r="G250" s="49"/>
      <c r="H250" s="49"/>
      <c r="I250" s="49"/>
      <c r="J250" s="49"/>
      <c r="K250" s="49"/>
    </row>
    <row r="251" spans="1:11" x14ac:dyDescent="0.25">
      <c r="A251" s="49"/>
      <c r="B251" s="49"/>
      <c r="C251" s="49"/>
      <c r="D251" s="49"/>
      <c r="E251" s="49"/>
      <c r="F251" s="49"/>
      <c r="G251" s="49"/>
      <c r="H251" s="49"/>
      <c r="I251" s="49"/>
      <c r="J251" s="49"/>
      <c r="K251" s="49"/>
    </row>
    <row r="252" spans="1:11" x14ac:dyDescent="0.25">
      <c r="A252" s="49"/>
      <c r="B252" s="692" t="s">
        <v>1005</v>
      </c>
      <c r="C252" s="49"/>
      <c r="D252" s="49"/>
      <c r="E252" s="49"/>
      <c r="F252" s="49"/>
      <c r="G252" s="49"/>
      <c r="H252" s="49"/>
      <c r="I252" s="49"/>
      <c r="J252" s="49"/>
      <c r="K252" s="49"/>
    </row>
    <row r="253" spans="1:11" ht="12" customHeight="1" x14ac:dyDescent="0.25">
      <c r="A253" s="49"/>
      <c r="B253" s="49"/>
      <c r="C253" s="49"/>
      <c r="D253" s="49"/>
      <c r="E253" s="49"/>
      <c r="F253" s="49"/>
      <c r="G253" s="49"/>
      <c r="H253" s="49"/>
      <c r="I253" s="49"/>
      <c r="J253" s="49"/>
      <c r="K253" s="49"/>
    </row>
    <row r="254" spans="1:11" ht="16.5" customHeight="1" x14ac:dyDescent="0.25">
      <c r="A254" s="49"/>
      <c r="B254" s="1745" t="s">
        <v>966</v>
      </c>
      <c r="C254" s="1629"/>
      <c r="D254" s="569"/>
      <c r="E254" s="49"/>
      <c r="F254" s="49"/>
      <c r="G254" s="49"/>
      <c r="H254" s="49"/>
      <c r="I254" s="49"/>
      <c r="J254" s="49"/>
      <c r="K254" s="49"/>
    </row>
    <row r="255" spans="1:11" ht="16.5" customHeight="1" x14ac:dyDescent="0.25">
      <c r="A255" s="49"/>
      <c r="B255" s="1745" t="s">
        <v>967</v>
      </c>
      <c r="C255" s="1629"/>
      <c r="D255" s="569"/>
      <c r="E255" s="49"/>
      <c r="F255" s="49"/>
      <c r="G255" s="49"/>
      <c r="H255" s="49"/>
      <c r="I255" s="49"/>
      <c r="J255" s="49"/>
      <c r="K255" s="49"/>
    </row>
    <row r="256" spans="1:11" ht="16.5" customHeight="1" x14ac:dyDescent="0.25">
      <c r="A256" s="49"/>
      <c r="B256" s="1745" t="s">
        <v>991</v>
      </c>
      <c r="C256" s="1629"/>
      <c r="D256" s="569" t="s">
        <v>62</v>
      </c>
      <c r="E256" s="49"/>
      <c r="F256" s="49"/>
      <c r="G256" s="49"/>
      <c r="H256" s="49"/>
      <c r="I256" s="49"/>
      <c r="J256" s="49"/>
      <c r="K256" s="49"/>
    </row>
    <row r="257" spans="1:12" x14ac:dyDescent="0.25">
      <c r="A257" s="49"/>
      <c r="B257" s="49"/>
      <c r="C257" s="49"/>
      <c r="D257" s="49"/>
      <c r="E257" s="49"/>
      <c r="F257" s="49"/>
      <c r="G257" s="49"/>
      <c r="H257" s="49"/>
      <c r="I257" s="49"/>
      <c r="J257" s="49"/>
      <c r="K257" s="49"/>
    </row>
    <row r="258" spans="1:12" ht="18" customHeight="1" x14ac:dyDescent="0.25">
      <c r="A258" s="49"/>
      <c r="B258" s="1621" t="s">
        <v>968</v>
      </c>
      <c r="C258" s="1621"/>
      <c r="D258" s="130" t="str">
        <f>IF(AND(D254&lt;&gt;"",D255=D254,D256&lt;&gt;"Select",D256&lt;&gt;"none"),"Yes","No")</f>
        <v>No</v>
      </c>
      <c r="E258" s="49"/>
      <c r="F258" s="49"/>
      <c r="G258" s="49"/>
      <c r="H258" s="49"/>
      <c r="I258" s="49"/>
      <c r="J258" s="49"/>
      <c r="K258" s="49"/>
    </row>
    <row r="259" spans="1:12" ht="19.5" customHeight="1" x14ac:dyDescent="0.25">
      <c r="A259" s="49"/>
      <c r="B259" s="49"/>
      <c r="C259" s="49"/>
      <c r="D259" s="49"/>
      <c r="E259" s="49"/>
      <c r="F259" s="49"/>
      <c r="G259" s="49"/>
      <c r="H259" s="49"/>
      <c r="I259" s="49"/>
      <c r="J259" s="49"/>
      <c r="K259" s="49"/>
    </row>
    <row r="260" spans="1:12" ht="17.25" customHeight="1" x14ac:dyDescent="0.25">
      <c r="A260" s="1677" t="s">
        <v>97</v>
      </c>
      <c r="B260" s="1677"/>
      <c r="C260" s="1677"/>
      <c r="D260" s="49"/>
      <c r="E260" s="49"/>
      <c r="F260" s="49"/>
      <c r="G260" s="49"/>
      <c r="H260" s="49"/>
      <c r="I260" s="49"/>
      <c r="J260" s="49"/>
      <c r="K260" s="49"/>
    </row>
    <row r="261" spans="1:12" x14ac:dyDescent="0.25">
      <c r="A261" s="49"/>
      <c r="B261" s="49"/>
      <c r="C261" s="49"/>
      <c r="D261" s="49"/>
      <c r="E261" s="49"/>
      <c r="F261" s="49"/>
      <c r="G261" s="49"/>
      <c r="H261" s="49"/>
      <c r="I261" s="49"/>
      <c r="J261" s="49"/>
      <c r="K261" s="49"/>
    </row>
    <row r="262" spans="1:12" ht="21" customHeight="1" x14ac:dyDescent="0.25">
      <c r="A262" s="48"/>
      <c r="B262" s="1627" t="s">
        <v>98</v>
      </c>
      <c r="C262" s="1628"/>
      <c r="D262" s="1628"/>
      <c r="E262" s="1628"/>
      <c r="F262" s="1628"/>
      <c r="G262" s="1074" t="s">
        <v>1297</v>
      </c>
      <c r="H262" s="1629" t="s">
        <v>1298</v>
      </c>
      <c r="I262" s="1630"/>
      <c r="J262" s="49"/>
      <c r="K262" s="49"/>
    </row>
    <row r="263" spans="1:12" ht="30" customHeight="1" x14ac:dyDescent="0.25">
      <c r="A263" s="48"/>
      <c r="B263" s="1644" t="str">
        <f>Submittals!H27</f>
        <v>Select the Submission Stage in Project Information</v>
      </c>
      <c r="C263" s="1645" t="str">
        <f>Submittals!G27</f>
        <v>• Not available in the draft version of LOTUS Interiors Pilot</v>
      </c>
      <c r="D263" s="1645"/>
      <c r="E263" s="1645"/>
      <c r="F263" s="1646"/>
      <c r="G263" s="1075" t="s">
        <v>62</v>
      </c>
      <c r="H263" s="1625"/>
      <c r="I263" s="1662"/>
      <c r="J263" s="49"/>
      <c r="K263" s="49"/>
      <c r="L263" s="37" t="str">
        <f>IF(OR(B263="/",B263="No evidence required at this submission stage"),"Yes",IF(G263="Submitted","Yes","No"))</f>
        <v>No</v>
      </c>
    </row>
    <row r="264" spans="1:12" ht="30" customHeight="1" x14ac:dyDescent="0.25">
      <c r="A264" s="48"/>
      <c r="B264" s="1644" t="str">
        <f>Submittals!H28</f>
        <v>Select the Submission Stage in Project Information</v>
      </c>
      <c r="C264" s="1645" t="str">
        <f>Submittals!G28</f>
        <v>• Not available in the draft version of LOTUS Interiors Pilot</v>
      </c>
      <c r="D264" s="1645"/>
      <c r="E264" s="1645"/>
      <c r="F264" s="1646"/>
      <c r="G264" s="1075" t="s">
        <v>62</v>
      </c>
      <c r="H264" s="1625"/>
      <c r="I264" s="1662"/>
      <c r="J264" s="49"/>
      <c r="K264" s="49"/>
      <c r="L264" s="37" t="str">
        <f>IF(OR(B264="/",B264="No evidence required at this submission stage"),"Yes",IF(G264="Submitted","Yes","No"))</f>
        <v>No</v>
      </c>
    </row>
    <row r="265" spans="1:12" ht="18.75" customHeight="1" x14ac:dyDescent="0.25">
      <c r="A265" s="49"/>
      <c r="B265" s="49"/>
      <c r="C265" s="49"/>
      <c r="D265" s="49"/>
      <c r="E265" s="49"/>
      <c r="F265" s="49"/>
      <c r="G265" s="49"/>
      <c r="H265" s="49"/>
      <c r="I265" s="49"/>
      <c r="J265" s="49"/>
      <c r="K265" s="49"/>
    </row>
    <row r="266" spans="1:12" ht="17.25" customHeight="1" x14ac:dyDescent="0.25">
      <c r="A266" s="1677" t="s">
        <v>8</v>
      </c>
      <c r="B266" s="1677"/>
      <c r="C266" s="1677"/>
      <c r="D266" s="49"/>
      <c r="E266" s="49"/>
      <c r="F266" s="49"/>
      <c r="G266" s="49"/>
      <c r="H266" s="49"/>
      <c r="I266" s="49"/>
      <c r="J266" s="49"/>
      <c r="K266" s="49"/>
    </row>
    <row r="267" spans="1:12" x14ac:dyDescent="0.25">
      <c r="A267" s="49"/>
      <c r="B267" s="49"/>
      <c r="C267" s="49"/>
      <c r="D267" s="49"/>
      <c r="E267" s="49"/>
      <c r="F267" s="49"/>
      <c r="G267" s="49"/>
      <c r="H267" s="49"/>
      <c r="I267" s="49"/>
      <c r="J267" s="49"/>
      <c r="K267" s="49"/>
    </row>
    <row r="268" spans="1:12" ht="18" customHeight="1" x14ac:dyDescent="0.25">
      <c r="A268" s="49"/>
      <c r="B268" s="129" t="s">
        <v>19</v>
      </c>
      <c r="C268" s="8">
        <f>IF(OR(D241="Yes",D258="Yes"),1,0)</f>
        <v>0</v>
      </c>
      <c r="D268" s="49"/>
      <c r="E268" s="49"/>
      <c r="F268" s="49"/>
      <c r="G268" s="49"/>
      <c r="H268" s="49"/>
      <c r="I268" s="49"/>
      <c r="J268" s="49"/>
      <c r="K268" s="49"/>
    </row>
    <row r="269" spans="1:12" ht="18" customHeight="1" x14ac:dyDescent="0.25">
      <c r="A269" s="49"/>
      <c r="B269" s="129" t="s">
        <v>151</v>
      </c>
      <c r="C269" s="7" t="str">
        <f>IF(AND(COUNTIF(L263:L264,"Yes")=2,C268&gt;0),"Yes","No")</f>
        <v>No</v>
      </c>
      <c r="D269" s="49"/>
      <c r="E269" s="49"/>
      <c r="F269" s="49"/>
      <c r="G269" s="49"/>
      <c r="H269" s="49"/>
      <c r="I269" s="49"/>
      <c r="J269" s="49"/>
      <c r="K269" s="49"/>
    </row>
    <row r="270" spans="1:12" ht="21" customHeight="1" x14ac:dyDescent="0.25">
      <c r="A270" s="49"/>
      <c r="B270" s="49"/>
      <c r="C270" s="49"/>
      <c r="D270" s="49"/>
      <c r="E270" s="49"/>
      <c r="F270" s="49"/>
      <c r="G270" s="49"/>
      <c r="H270" s="49"/>
      <c r="I270" s="49"/>
      <c r="J270" s="49"/>
      <c r="K270" s="49"/>
    </row>
    <row r="271" spans="1:12" hidden="1" x14ac:dyDescent="0.25"/>
    <row r="272" spans="1:1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sheetData>
  <sheetProtection algorithmName="SHA-512" hashValue="Dm2VnZyPmvFeA9TLeWOxDm37vQrBgdQGy26bjorlDpn/l5I6gQG9yyNzvBqXD/RpPJT6aNzBRrUQBbNY1PQl8w==" saltValue="BBFvMIIzyPmjYbwWRZpnyg==" spinCount="100000" sheet="1" objects="1" scenarios="1"/>
  <mergeCells count="126">
    <mergeCell ref="B255:C255"/>
    <mergeCell ref="F130:G130"/>
    <mergeCell ref="F131:G131"/>
    <mergeCell ref="F126:G126"/>
    <mergeCell ref="B238:D238"/>
    <mergeCell ref="B236:D236"/>
    <mergeCell ref="B57:H58"/>
    <mergeCell ref="B230:H230"/>
    <mergeCell ref="B231:H231"/>
    <mergeCell ref="B229:H229"/>
    <mergeCell ref="B77:D77"/>
    <mergeCell ref="B78:D78"/>
    <mergeCell ref="A93:K93"/>
    <mergeCell ref="F123:G123"/>
    <mergeCell ref="F124:G124"/>
    <mergeCell ref="A81:C81"/>
    <mergeCell ref="F127:G127"/>
    <mergeCell ref="F128:G128"/>
    <mergeCell ref="F129:G129"/>
    <mergeCell ref="F115:G115"/>
    <mergeCell ref="F116:G116"/>
    <mergeCell ref="F122:G122"/>
    <mergeCell ref="H214:I214"/>
    <mergeCell ref="H215:I215"/>
    <mergeCell ref="H216:I216"/>
    <mergeCell ref="H83:I83"/>
    <mergeCell ref="H84:I84"/>
    <mergeCell ref="H86:I86"/>
    <mergeCell ref="B83:F83"/>
    <mergeCell ref="B137:F137"/>
    <mergeCell ref="B79:D79"/>
    <mergeCell ref="B210:C210"/>
    <mergeCell ref="E157:K157"/>
    <mergeCell ref="A160:E160"/>
    <mergeCell ref="B138:F138"/>
    <mergeCell ref="B139:F139"/>
    <mergeCell ref="B84:F84"/>
    <mergeCell ref="B86:F86"/>
    <mergeCell ref="A88:C88"/>
    <mergeCell ref="A95:C95"/>
    <mergeCell ref="A141:C141"/>
    <mergeCell ref="F125:G125"/>
    <mergeCell ref="H137:I137"/>
    <mergeCell ref="H138:I138"/>
    <mergeCell ref="H139:I139"/>
    <mergeCell ref="F114:G114"/>
    <mergeCell ref="B99:I99"/>
    <mergeCell ref="B155:I155"/>
    <mergeCell ref="B14:E14"/>
    <mergeCell ref="B15:E15"/>
    <mergeCell ref="B23:G25"/>
    <mergeCell ref="C28:D28"/>
    <mergeCell ref="A20:C20"/>
    <mergeCell ref="A18:K18"/>
    <mergeCell ref="B52:C52"/>
    <mergeCell ref="A46:C46"/>
    <mergeCell ref="B48:H49"/>
    <mergeCell ref="A266:C266"/>
    <mergeCell ref="A148:C148"/>
    <mergeCell ref="A135:C135"/>
    <mergeCell ref="A223:K223"/>
    <mergeCell ref="A225:C225"/>
    <mergeCell ref="A218:C218"/>
    <mergeCell ref="A260:C260"/>
    <mergeCell ref="B256:C256"/>
    <mergeCell ref="B258:C258"/>
    <mergeCell ref="B241:C241"/>
    <mergeCell ref="B245:H246"/>
    <mergeCell ref="B254:C254"/>
    <mergeCell ref="B235:D235"/>
    <mergeCell ref="B263:F263"/>
    <mergeCell ref="B264:F264"/>
    <mergeCell ref="B215:F215"/>
    <mergeCell ref="B216:F216"/>
    <mergeCell ref="A146:K146"/>
    <mergeCell ref="B188:I189"/>
    <mergeCell ref="H262:I262"/>
    <mergeCell ref="H263:I263"/>
    <mergeCell ref="B214:F214"/>
    <mergeCell ref="B262:F262"/>
    <mergeCell ref="B239:D239"/>
    <mergeCell ref="H264:I264"/>
    <mergeCell ref="A1:K1"/>
    <mergeCell ref="F111:G111"/>
    <mergeCell ref="F112:G112"/>
    <mergeCell ref="F113:G113"/>
    <mergeCell ref="H2:J4"/>
    <mergeCell ref="B53:C53"/>
    <mergeCell ref="A5:K7"/>
    <mergeCell ref="A9:K9"/>
    <mergeCell ref="C37:D37"/>
    <mergeCell ref="C32:D32"/>
    <mergeCell ref="C33:D33"/>
    <mergeCell ref="C34:D34"/>
    <mergeCell ref="C35:D35"/>
    <mergeCell ref="C36:D36"/>
    <mergeCell ref="B16:E16"/>
    <mergeCell ref="C29:D29"/>
    <mergeCell ref="C30:D30"/>
    <mergeCell ref="C31:D31"/>
    <mergeCell ref="B27:F27"/>
    <mergeCell ref="B133:C133"/>
    <mergeCell ref="B11:E11"/>
    <mergeCell ref="B12:E12"/>
    <mergeCell ref="B13:E13"/>
    <mergeCell ref="B85:F85"/>
    <mergeCell ref="H85:I85"/>
    <mergeCell ref="A212:C212"/>
    <mergeCell ref="B184:I184"/>
    <mergeCell ref="B185:I185"/>
    <mergeCell ref="B186:I186"/>
    <mergeCell ref="B183:I183"/>
    <mergeCell ref="B100:I100"/>
    <mergeCell ref="B101:I101"/>
    <mergeCell ref="B102:I102"/>
    <mergeCell ref="B103:I103"/>
    <mergeCell ref="B106:I106"/>
    <mergeCell ref="B105:I105"/>
    <mergeCell ref="B107:I107"/>
    <mergeCell ref="B153:I153"/>
    <mergeCell ref="B154:I154"/>
    <mergeCell ref="F117:G117"/>
    <mergeCell ref="F118:G118"/>
    <mergeCell ref="F119:G119"/>
    <mergeCell ref="F120:G120"/>
    <mergeCell ref="F121:G121"/>
  </mergeCells>
  <conditionalFormatting sqref="E194:G208">
    <cfRule type="expression" dxfId="610" priority="26">
      <formula>$D194="independent manual switch"</formula>
    </cfRule>
  </conditionalFormatting>
  <conditionalFormatting sqref="G194:G208">
    <cfRule type="expression" dxfId="609" priority="25">
      <formula>$F194="No"</formula>
    </cfRule>
  </conditionalFormatting>
  <conditionalFormatting sqref="H215:I215">
    <cfRule type="expression" dxfId="608" priority="22">
      <formula>$B215="No evidence required at this submission stage"</formula>
    </cfRule>
  </conditionalFormatting>
  <conditionalFormatting sqref="H216:I216">
    <cfRule type="expression" dxfId="607" priority="21">
      <formula>$B216="No evidence required at this submission stage"</formula>
    </cfRule>
  </conditionalFormatting>
  <conditionalFormatting sqref="H138:I138">
    <cfRule type="expression" dxfId="606" priority="20">
      <formula>$B138="No evidence required at this submission stage"</formula>
    </cfRule>
  </conditionalFormatting>
  <conditionalFormatting sqref="H139:I139">
    <cfRule type="expression" dxfId="605" priority="19">
      <formula>$B139="No evidence required at this submission stage"</formula>
    </cfRule>
  </conditionalFormatting>
  <conditionalFormatting sqref="G84:I84 G86:I86">
    <cfRule type="expression" dxfId="604" priority="15">
      <formula>$B84="/"</formula>
    </cfRule>
    <cfRule type="expression" dxfId="603" priority="16">
      <formula>$B84="No evidence required at this submission stage"</formula>
    </cfRule>
  </conditionalFormatting>
  <conditionalFormatting sqref="G138:I139">
    <cfRule type="expression" dxfId="602" priority="9">
      <formula>$B138="/"</formula>
    </cfRule>
    <cfRule type="expression" dxfId="601" priority="10">
      <formula>$B138="No evidence required at this submission stage"</formula>
    </cfRule>
  </conditionalFormatting>
  <conditionalFormatting sqref="G215:I216">
    <cfRule type="expression" dxfId="600" priority="7">
      <formula>$B215="/"</formula>
    </cfRule>
    <cfRule type="expression" dxfId="599" priority="8">
      <formula>$B215="No evidence required at this submission stage"</formula>
    </cfRule>
  </conditionalFormatting>
  <conditionalFormatting sqref="H263:I263">
    <cfRule type="expression" dxfId="598" priority="6">
      <formula>$B263="No evidence required at this submission stage"</formula>
    </cfRule>
  </conditionalFormatting>
  <conditionalFormatting sqref="H264:I264">
    <cfRule type="expression" dxfId="597" priority="5">
      <formula>$B264="No evidence required at this submission stage"</formula>
    </cfRule>
  </conditionalFormatting>
  <conditionalFormatting sqref="G263:I264">
    <cfRule type="expression" dxfId="596" priority="3">
      <formula>$B263="/"</formula>
    </cfRule>
    <cfRule type="expression" dxfId="595" priority="4">
      <formula>$B263="No evidence required at this submission stage"</formula>
    </cfRule>
  </conditionalFormatting>
  <conditionalFormatting sqref="G85:I85">
    <cfRule type="expression" dxfId="594" priority="1">
      <formula>$B85="/"</formula>
    </cfRule>
    <cfRule type="expression" dxfId="593" priority="2">
      <formula>$B85="No evidence required at this submission stage"</formula>
    </cfRule>
  </conditionalFormatting>
  <dataValidations xWindow="98" yWindow="579" count="20">
    <dataValidation allowBlank="1" showInputMessage="1" showErrorMessage="1" prompt="Complete if any._x000a_Additional Power can be for ballasts, control devices, current regulators..." sqref="F61:F75"/>
    <dataValidation allowBlank="1" showInputMessage="1" showErrorMessage="1" prompt="Number and types of lamps installed in the potentially day-lit area._x000a_" sqref="C208"/>
    <dataValidation allowBlank="1" showInputMessage="1" showErrorMessage="1" prompt="Name of the room where the potentially day-lit area is located." sqref="B208"/>
    <dataValidation allowBlank="1" showInputMessage="1" showErrorMessage="1" prompt="Number and types of lamps installed in the potentially daylit area._x000a_" sqref="C194:C207"/>
    <dataValidation allowBlank="1" showInputMessage="1" showErrorMessage="1" prompt="Name of the room where the potentially daylit area is located." sqref="B194:B207"/>
    <dataValidation type="list" allowBlank="1" showInputMessage="1" showErrorMessage="1" prompt="Complete only if some photosensors are installed" sqref="F194:F208">
      <formula1>"Select,Yes,No"</formula1>
    </dataValidation>
    <dataValidation type="list" allowBlank="1" showInputMessage="1" showErrorMessage="1" prompt="Are occupancy sensors prioritized over photosensors for lighting control?_x000a_Complete only if some occupancy sensors and photosensors are installed." sqref="G194:G208">
      <formula1>"Select,Yes,No"</formula1>
    </dataValidation>
    <dataValidation allowBlank="1" showInputMessage="1" showErrorMessage="1" prompt="Details on the lighting control such as the natural light levels preset for the photosensors._x000a_(if necessary)." sqref="H194:H208"/>
    <dataValidation type="list" allowBlank="1" showInputMessage="1" showErrorMessage="1" prompt="Complete only if some photosensors are installed" sqref="E194:E208">
      <formula1>"Select,half the depth of the potentially daylit area,other"</formula1>
    </dataValidation>
    <dataValidation type="list" allowBlank="1" showInputMessage="1" showErrorMessage="1" sqref="D194:D208">
      <formula1>"Select,photosensor to dim and switch off the lights,photosensor to dim the lights,photosensors to switch the lights off, independent manual switch,no lighting control"</formula1>
    </dataValidation>
    <dataValidation type="list" allowBlank="1" showInputMessage="1" showErrorMessage="1" sqref="D52:H52">
      <formula1>space_types</formula1>
    </dataValidation>
    <dataValidation allowBlank="1" showInputMessage="1" showErrorMessage="1" prompt="Name of the model of light fixture" sqref="B61:B75"/>
    <dataValidation allowBlank="1" showInputMessage="1" showErrorMessage="1" prompt="Light fixture type, such as: T5 fluorescent, LED, CFL, halogen, etc." sqref="C61:C75"/>
    <dataValidation allowBlank="1" showInputMessage="1" showErrorMessage="1" prompt="Individual power of the light fixture" sqref="E61:E75"/>
    <dataValidation type="list" allowBlank="1" showInputMessage="1" showErrorMessage="1" sqref="D256">
      <formula1>"Select,switching,dimming,switching and dimming,none"</formula1>
    </dataValidation>
    <dataValidation type="list" allowBlank="1" showInputMessage="1" showErrorMessage="1" sqref="F112:F131">
      <formula1>"Select,manual switch, occupancy sensor, vacancy sensor + manual switch"</formula1>
    </dataValidation>
    <dataValidation type="list" allowBlank="1" showInputMessage="1" showErrorMessage="1" sqref="E235:E236 E238:E239">
      <formula1>"Select,Yes,No"</formula1>
    </dataValidation>
    <dataValidation type="list" allowBlank="1" showInputMessage="1" showErrorMessage="1" sqref="G263:G264 G138:G139 G215:G216 G84:G86">
      <formula1>"Select,Submitted,Not submitted"</formula1>
    </dataValidation>
    <dataValidation type="list" allowBlank="1" showInputMessage="1" showErrorMessage="1" prompt="Select 'passageways' only in office spaces, hotels and schools" sqref="C112:C131">
      <formula1>"Select,conference room, passageway, other"</formula1>
    </dataValidation>
    <dataValidation allowBlank="1" showInputMessage="1" showErrorMessage="1" prompt="Enter the name of the separate space." sqref="B112:B131"/>
  </dataValidations>
  <hyperlinks>
    <hyperlink ref="K2" location="'E-1 Space cooling'!B3" tooltip="E-1" display="E-1"/>
    <hyperlink ref="K3" location="'E-3 Energy Efficient Appliances'!B3" tooltip="E-3" display="E-3"/>
    <hyperlink ref="K4" location="'E-4 Energy Monitoring'!B3" tooltip="E-4" display="E-4"/>
  </hyperlinks>
  <pageMargins left="0.7" right="0.7" top="0.75" bottom="0.75" header="0.3" footer="0.3"/>
  <pageSetup orientation="portrait" horizontalDpi="3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rgb="FF58AB27"/>
  </sheetPr>
  <dimension ref="A1:O120"/>
  <sheetViews>
    <sheetView showGridLines="0" showRowColHeaders="0" workbookViewId="0">
      <pane ySplit="8" topLeftCell="A9" activePane="bottomLeft" state="frozen"/>
      <selection activeCell="B12" sqref="B12:O12"/>
      <selection pane="bottomLeft" activeCell="A9" sqref="A9:L9"/>
    </sheetView>
  </sheetViews>
  <sheetFormatPr defaultColWidth="0" defaultRowHeight="15" zeroHeight="1" x14ac:dyDescent="0.25"/>
  <cols>
    <col min="1" max="1" width="4.140625" style="37" customWidth="1"/>
    <col min="2" max="2" width="19.85546875" style="37" customWidth="1"/>
    <col min="3" max="3" width="17.7109375" style="37" customWidth="1"/>
    <col min="4" max="4" width="14.85546875" style="37" customWidth="1"/>
    <col min="5" max="6" width="20.7109375" style="37" customWidth="1"/>
    <col min="7" max="7" width="19.42578125" style="37" customWidth="1"/>
    <col min="8" max="8" width="16.42578125" style="37" customWidth="1"/>
    <col min="9" max="9" width="13.5703125" style="37" customWidth="1"/>
    <col min="10" max="10" width="12.42578125" style="37" customWidth="1"/>
    <col min="11" max="11" width="6.42578125" style="37" customWidth="1"/>
    <col min="12" max="12" width="8.42578125" style="37" customWidth="1"/>
    <col min="13" max="13" width="12.42578125" style="37" hidden="1" customWidth="1"/>
    <col min="14" max="14" width="9.140625" style="37" hidden="1" customWidth="1"/>
    <col min="15" max="15" width="35.28515625" style="37" hidden="1" customWidth="1"/>
    <col min="16" max="16384" width="9.140625" style="37" hidden="1"/>
  </cols>
  <sheetData>
    <row r="1" spans="1:13" ht="25.5" customHeight="1" x14ac:dyDescent="0.25">
      <c r="A1" s="1617" t="s">
        <v>303</v>
      </c>
      <c r="B1" s="1617"/>
      <c r="C1" s="1617"/>
      <c r="D1" s="1617"/>
      <c r="E1" s="1617"/>
      <c r="F1" s="1617"/>
      <c r="G1" s="1617"/>
      <c r="H1" s="1617"/>
      <c r="I1" s="1617"/>
      <c r="J1" s="1617"/>
      <c r="K1" s="1617"/>
      <c r="L1" s="1617"/>
    </row>
    <row r="2" spans="1:13" ht="15" customHeight="1" x14ac:dyDescent="0.25">
      <c r="A2" s="49"/>
      <c r="B2" s="49"/>
      <c r="C2" s="49"/>
      <c r="D2" s="49"/>
      <c r="E2" s="49"/>
      <c r="F2" s="48"/>
      <c r="G2" s="48"/>
      <c r="H2" s="1694" t="s">
        <v>161</v>
      </c>
      <c r="I2" s="1694"/>
      <c r="J2" s="1694"/>
      <c r="K2" s="1694"/>
      <c r="L2" s="131" t="s">
        <v>22</v>
      </c>
    </row>
    <row r="3" spans="1:13" ht="15" customHeight="1" x14ac:dyDescent="0.25">
      <c r="A3" s="49"/>
      <c r="B3" s="49"/>
      <c r="C3" s="49"/>
      <c r="D3" s="49"/>
      <c r="E3" s="49"/>
      <c r="F3" s="48"/>
      <c r="G3" s="48"/>
      <c r="H3" s="1694"/>
      <c r="I3" s="1694"/>
      <c r="J3" s="1694"/>
      <c r="K3" s="1694"/>
      <c r="L3" s="131" t="s">
        <v>24</v>
      </c>
    </row>
    <row r="4" spans="1:13" ht="15" customHeight="1" x14ac:dyDescent="0.25">
      <c r="A4" s="49"/>
      <c r="B4" s="49"/>
      <c r="C4" s="49"/>
      <c r="D4" s="49"/>
      <c r="E4" s="49"/>
      <c r="F4" s="48"/>
      <c r="G4" s="48"/>
      <c r="H4" s="1695"/>
      <c r="I4" s="1695"/>
      <c r="J4" s="1695"/>
      <c r="K4" s="1695"/>
      <c r="L4" s="131" t="s">
        <v>26</v>
      </c>
    </row>
    <row r="5" spans="1:13" ht="20.25" customHeight="1" x14ac:dyDescent="0.25">
      <c r="A5" s="1704" t="s">
        <v>2702</v>
      </c>
      <c r="B5" s="1705"/>
      <c r="C5" s="1705"/>
      <c r="D5" s="1705"/>
      <c r="E5" s="1705"/>
      <c r="F5" s="1705"/>
      <c r="G5" s="1705"/>
      <c r="H5" s="1705"/>
      <c r="I5" s="1705"/>
      <c r="J5" s="1705"/>
      <c r="K5" s="1705"/>
      <c r="L5" s="1706"/>
    </row>
    <row r="6" spans="1:13" ht="20.25" customHeight="1" x14ac:dyDescent="0.25">
      <c r="A6" s="1707"/>
      <c r="B6" s="1708"/>
      <c r="C6" s="1708"/>
      <c r="D6" s="1708"/>
      <c r="E6" s="1708"/>
      <c r="F6" s="1708"/>
      <c r="G6" s="1708"/>
      <c r="H6" s="1708"/>
      <c r="I6" s="1708"/>
      <c r="J6" s="1708"/>
      <c r="K6" s="1708"/>
      <c r="L6" s="1709"/>
    </row>
    <row r="7" spans="1:13" ht="20.25" customHeight="1" x14ac:dyDescent="0.25">
      <c r="A7" s="1710"/>
      <c r="B7" s="1711"/>
      <c r="C7" s="1711"/>
      <c r="D7" s="1711"/>
      <c r="E7" s="1711"/>
      <c r="F7" s="1711"/>
      <c r="G7" s="1711"/>
      <c r="H7" s="1711"/>
      <c r="I7" s="1711"/>
      <c r="J7" s="1711"/>
      <c r="K7" s="1711"/>
      <c r="L7" s="1712"/>
    </row>
    <row r="8" spans="1:13" ht="12" customHeight="1" x14ac:dyDescent="0.25">
      <c r="A8" s="48"/>
      <c r="B8" s="49"/>
      <c r="C8" s="49"/>
      <c r="D8" s="49"/>
      <c r="E8" s="49"/>
      <c r="F8" s="48"/>
      <c r="G8" s="48"/>
      <c r="H8" s="48"/>
      <c r="I8" s="48"/>
      <c r="J8" s="48"/>
      <c r="K8" s="48"/>
      <c r="L8" s="48"/>
    </row>
    <row r="9" spans="1:13" ht="18" customHeight="1" x14ac:dyDescent="0.25">
      <c r="A9" s="1676" t="s">
        <v>95</v>
      </c>
      <c r="B9" s="1676"/>
      <c r="C9" s="1676"/>
      <c r="D9" s="1676"/>
      <c r="E9" s="1676"/>
      <c r="F9" s="1676"/>
      <c r="G9" s="1676"/>
      <c r="H9" s="1676"/>
      <c r="I9" s="1676"/>
      <c r="J9" s="1676"/>
      <c r="K9" s="1676"/>
      <c r="L9" s="1676"/>
    </row>
    <row r="10" spans="1:13" x14ac:dyDescent="0.25">
      <c r="A10" s="48"/>
      <c r="B10" s="49"/>
      <c r="C10" s="49"/>
      <c r="D10" s="49"/>
      <c r="E10" s="49"/>
      <c r="F10" s="48"/>
      <c r="G10" s="48"/>
      <c r="H10" s="48"/>
      <c r="I10" s="48"/>
      <c r="J10" s="48"/>
      <c r="K10" s="48"/>
      <c r="L10" s="48"/>
    </row>
    <row r="11" spans="1:13" ht="21" customHeight="1" x14ac:dyDescent="0.25">
      <c r="A11" s="48"/>
      <c r="B11" s="1696" t="s">
        <v>96</v>
      </c>
      <c r="C11" s="1697"/>
      <c r="D11" s="1697"/>
      <c r="E11" s="1697"/>
      <c r="F11" s="282" t="s">
        <v>75</v>
      </c>
      <c r="G11" s="282" t="s">
        <v>19</v>
      </c>
      <c r="H11" s="74" t="s">
        <v>151</v>
      </c>
      <c r="I11" s="48"/>
      <c r="J11" s="48"/>
      <c r="K11" s="48"/>
      <c r="L11" s="48"/>
    </row>
    <row r="12" spans="1:13" ht="52.5" customHeight="1" x14ac:dyDescent="0.25">
      <c r="A12" s="48"/>
      <c r="B12" s="1780" t="s">
        <v>421</v>
      </c>
      <c r="C12" s="1781"/>
      <c r="D12" s="1781"/>
      <c r="E12" s="1782"/>
      <c r="F12" s="53">
        <v>4</v>
      </c>
      <c r="G12" s="53">
        <f ca="1">C71</f>
        <v>0</v>
      </c>
      <c r="H12" s="53" t="str">
        <f ca="1">C72</f>
        <v>No</v>
      </c>
      <c r="I12" s="48"/>
      <c r="J12" s="48"/>
      <c r="K12" s="48"/>
      <c r="L12" s="48"/>
      <c r="M12" s="37" t="str">
        <f ca="1">IF(G12&lt;&gt;0,IF(H12="No","No","Yes"),"Yes")</f>
        <v>Yes</v>
      </c>
    </row>
    <row r="13" spans="1:13" ht="28.5" customHeight="1" x14ac:dyDescent="0.25">
      <c r="A13" s="48"/>
      <c r="B13" s="1780" t="s">
        <v>422</v>
      </c>
      <c r="C13" s="1781"/>
      <c r="D13" s="1781"/>
      <c r="E13" s="1782"/>
      <c r="F13" s="320">
        <v>1</v>
      </c>
      <c r="G13" s="320">
        <f>C115</f>
        <v>0</v>
      </c>
      <c r="H13" s="320" t="str">
        <f>C116</f>
        <v>No</v>
      </c>
      <c r="I13" s="48"/>
      <c r="J13" s="48"/>
      <c r="K13" s="48"/>
      <c r="L13" s="48"/>
      <c r="M13" s="37" t="str">
        <f>IF(G13&lt;&gt;0,IF(H13="No","No","Yes"),"Yes")</f>
        <v>Yes</v>
      </c>
    </row>
    <row r="14" spans="1:13" ht="18" customHeight="1" x14ac:dyDescent="0.25">
      <c r="A14" s="48"/>
      <c r="B14" s="1713" t="s">
        <v>29</v>
      </c>
      <c r="C14" s="1740"/>
      <c r="D14" s="1740"/>
      <c r="E14" s="1741"/>
      <c r="F14" s="612">
        <v>4</v>
      </c>
      <c r="G14" s="612">
        <f ca="1">MIN(4,SUM(G12:G13))</f>
        <v>0</v>
      </c>
      <c r="H14" s="612" t="str">
        <f ca="1">IF(COUNTIF(H12:H13,"No")=2,"No",IF(COUNTIF(M12:M13,"Yes")=2,"Yes","No"))</f>
        <v>No</v>
      </c>
      <c r="I14" s="48"/>
      <c r="J14" s="48"/>
      <c r="K14" s="48"/>
      <c r="L14" s="48"/>
    </row>
    <row r="15" spans="1:13" ht="15" customHeight="1" x14ac:dyDescent="0.25">
      <c r="A15" s="49"/>
      <c r="B15" s="49"/>
      <c r="C15" s="49"/>
      <c r="D15" s="49"/>
      <c r="E15" s="49"/>
      <c r="F15" s="48"/>
      <c r="G15" s="48"/>
      <c r="H15" s="48"/>
      <c r="I15" s="48"/>
      <c r="J15" s="48"/>
      <c r="K15" s="48"/>
      <c r="L15" s="48"/>
    </row>
    <row r="16" spans="1:13" ht="18" customHeight="1" x14ac:dyDescent="0.25">
      <c r="A16" s="1676" t="s">
        <v>424</v>
      </c>
      <c r="B16" s="1676"/>
      <c r="C16" s="1676"/>
      <c r="D16" s="1676"/>
      <c r="E16" s="1676"/>
      <c r="F16" s="1676"/>
      <c r="G16" s="1676"/>
      <c r="H16" s="1676"/>
      <c r="I16" s="1676"/>
      <c r="J16" s="1676"/>
      <c r="K16" s="1676"/>
      <c r="L16" s="1676"/>
    </row>
    <row r="17" spans="1:13" ht="15" customHeight="1" x14ac:dyDescent="0.25">
      <c r="A17" s="49"/>
      <c r="B17" s="49"/>
      <c r="C17" s="49"/>
      <c r="D17" s="49"/>
      <c r="E17" s="49"/>
      <c r="F17" s="48"/>
      <c r="G17" s="48"/>
      <c r="H17" s="48"/>
      <c r="I17" s="48"/>
      <c r="J17" s="48"/>
      <c r="K17" s="48"/>
      <c r="L17" s="48"/>
    </row>
    <row r="18" spans="1:13" ht="16.5" customHeight="1" x14ac:dyDescent="0.25">
      <c r="A18" s="1677" t="s">
        <v>423</v>
      </c>
      <c r="B18" s="1677"/>
      <c r="C18" s="1677"/>
      <c r="D18" s="49"/>
      <c r="E18" s="49"/>
      <c r="F18" s="48"/>
      <c r="G18" s="48"/>
      <c r="H18" s="48"/>
      <c r="I18" s="48"/>
      <c r="J18" s="48"/>
      <c r="K18" s="48"/>
      <c r="L18" s="48"/>
    </row>
    <row r="19" spans="1:13" ht="15" customHeight="1" x14ac:dyDescent="0.25">
      <c r="A19" s="49"/>
      <c r="B19" s="49"/>
      <c r="C19" s="49"/>
      <c r="D19" s="49"/>
      <c r="E19" s="49"/>
      <c r="F19" s="48"/>
      <c r="G19" s="48"/>
      <c r="H19" s="48"/>
      <c r="I19" s="48"/>
      <c r="J19" s="48"/>
      <c r="K19" s="48"/>
      <c r="L19" s="48"/>
    </row>
    <row r="20" spans="1:13" ht="15" customHeight="1" x14ac:dyDescent="0.25">
      <c r="A20" s="49"/>
      <c r="B20" s="625" t="s">
        <v>997</v>
      </c>
      <c r="C20" s="49"/>
      <c r="D20" s="49"/>
      <c r="E20" s="49"/>
      <c r="F20" s="48"/>
      <c r="G20" s="48"/>
      <c r="H20" s="48"/>
      <c r="I20" s="48"/>
      <c r="J20" s="48"/>
      <c r="K20" s="48"/>
      <c r="L20" s="48"/>
    </row>
    <row r="21" spans="1:13" x14ac:dyDescent="0.25">
      <c r="A21" s="49"/>
      <c r="B21" s="49"/>
      <c r="C21" s="49"/>
      <c r="D21" s="49"/>
      <c r="E21" s="49"/>
      <c r="F21" s="48"/>
      <c r="G21" s="48"/>
      <c r="H21" s="48"/>
      <c r="I21" s="48"/>
      <c r="J21" s="48"/>
      <c r="K21" s="48"/>
      <c r="L21" s="48"/>
    </row>
    <row r="22" spans="1:13" ht="27.75" customHeight="1" x14ac:dyDescent="0.25">
      <c r="A22" s="49"/>
      <c r="B22" s="1786" t="s">
        <v>2107</v>
      </c>
      <c r="C22" s="1787"/>
      <c r="D22" s="1787"/>
      <c r="E22" s="1787"/>
      <c r="F22" s="1787"/>
      <c r="G22" s="1787"/>
      <c r="H22" s="1787"/>
      <c r="I22" s="1787"/>
      <c r="J22" s="1788"/>
      <c r="K22" s="48"/>
      <c r="L22" s="48"/>
    </row>
    <row r="23" spans="1:13" x14ac:dyDescent="0.25">
      <c r="A23" s="49"/>
      <c r="B23" s="1789" t="s">
        <v>2108</v>
      </c>
      <c r="C23" s="1790"/>
      <c r="D23" s="1790"/>
      <c r="E23" s="1790"/>
      <c r="F23" s="1790"/>
      <c r="G23" s="1790"/>
      <c r="H23" s="1790"/>
      <c r="I23" s="1790"/>
      <c r="J23" s="1791"/>
      <c r="K23" s="48"/>
      <c r="L23" s="48"/>
    </row>
    <row r="24" spans="1:13" ht="12" customHeight="1" x14ac:dyDescent="0.25">
      <c r="A24" s="49"/>
      <c r="B24" s="49"/>
      <c r="C24" s="49"/>
      <c r="D24" s="49"/>
      <c r="E24" s="49"/>
      <c r="F24" s="48"/>
      <c r="G24" s="48"/>
      <c r="H24" s="48"/>
      <c r="I24" s="48"/>
      <c r="J24" s="48"/>
      <c r="K24" s="48"/>
      <c r="L24" s="48"/>
      <c r="M24" s="48"/>
    </row>
    <row r="25" spans="1:13" x14ac:dyDescent="0.25">
      <c r="A25" s="49"/>
      <c r="B25" s="580" t="s">
        <v>946</v>
      </c>
      <c r="C25" s="519"/>
      <c r="D25" s="519"/>
      <c r="E25" s="519"/>
      <c r="F25" s="519"/>
      <c r="G25" s="519"/>
      <c r="H25" s="519"/>
      <c r="I25" s="519"/>
      <c r="J25" s="520"/>
      <c r="K25" s="48"/>
      <c r="L25" s="48"/>
    </row>
    <row r="26" spans="1:13" x14ac:dyDescent="0.25">
      <c r="A26" s="49"/>
      <c r="B26" s="581" t="s">
        <v>122</v>
      </c>
      <c r="C26" s="521"/>
      <c r="D26" s="521"/>
      <c r="E26" s="521"/>
      <c r="F26" s="521"/>
      <c r="G26" s="521"/>
      <c r="H26" s="521"/>
      <c r="I26" s="521"/>
      <c r="J26" s="517"/>
      <c r="K26" s="48"/>
      <c r="L26" s="48"/>
    </row>
    <row r="27" spans="1:13" x14ac:dyDescent="0.25">
      <c r="A27" s="49"/>
      <c r="B27" s="581" t="s">
        <v>123</v>
      </c>
      <c r="C27" s="521"/>
      <c r="D27" s="521"/>
      <c r="E27" s="521"/>
      <c r="F27" s="521"/>
      <c r="G27" s="521"/>
      <c r="H27" s="521"/>
      <c r="I27" s="521"/>
      <c r="J27" s="517"/>
      <c r="K27" s="48"/>
      <c r="L27" s="48"/>
    </row>
    <row r="28" spans="1:13" x14ac:dyDescent="0.25">
      <c r="A28" s="49"/>
      <c r="B28" s="581" t="s">
        <v>124</v>
      </c>
      <c r="C28" s="521"/>
      <c r="D28" s="521"/>
      <c r="E28" s="521"/>
      <c r="F28" s="521"/>
      <c r="G28" s="521"/>
      <c r="H28" s="521"/>
      <c r="I28" s="521"/>
      <c r="J28" s="517"/>
      <c r="K28" s="48"/>
      <c r="L28" s="48"/>
    </row>
    <row r="29" spans="1:13" x14ac:dyDescent="0.25">
      <c r="A29" s="49"/>
      <c r="B29" s="581" t="s">
        <v>125</v>
      </c>
      <c r="C29" s="521"/>
      <c r="D29" s="521"/>
      <c r="E29" s="521"/>
      <c r="F29" s="521"/>
      <c r="G29" s="521"/>
      <c r="H29" s="521"/>
      <c r="I29" s="521"/>
      <c r="J29" s="517"/>
      <c r="K29" s="48"/>
      <c r="L29" s="48"/>
    </row>
    <row r="30" spans="1:13" x14ac:dyDescent="0.25">
      <c r="A30" s="49"/>
      <c r="B30" s="581" t="s">
        <v>126</v>
      </c>
      <c r="C30" s="521"/>
      <c r="D30" s="521"/>
      <c r="E30" s="521"/>
      <c r="F30" s="521"/>
      <c r="G30" s="521"/>
      <c r="H30" s="521"/>
      <c r="I30" s="521"/>
      <c r="J30" s="517"/>
      <c r="K30" s="48"/>
      <c r="L30" s="48"/>
    </row>
    <row r="31" spans="1:13" x14ac:dyDescent="0.25">
      <c r="A31" s="49"/>
      <c r="B31" s="581" t="s">
        <v>127</v>
      </c>
      <c r="C31" s="521"/>
      <c r="D31" s="521"/>
      <c r="E31" s="521"/>
      <c r="F31" s="521"/>
      <c r="G31" s="521"/>
      <c r="H31" s="521"/>
      <c r="I31" s="521"/>
      <c r="J31" s="517"/>
      <c r="K31" s="48"/>
      <c r="L31" s="48"/>
    </row>
    <row r="32" spans="1:13" x14ac:dyDescent="0.25">
      <c r="A32" s="49"/>
      <c r="B32" s="581" t="s">
        <v>128</v>
      </c>
      <c r="C32" s="521"/>
      <c r="D32" s="521"/>
      <c r="E32" s="521"/>
      <c r="F32" s="521"/>
      <c r="G32" s="521"/>
      <c r="H32" s="521"/>
      <c r="I32" s="521"/>
      <c r="J32" s="517"/>
      <c r="K32" s="48"/>
      <c r="L32" s="48"/>
    </row>
    <row r="33" spans="1:12" x14ac:dyDescent="0.25">
      <c r="A33" s="49"/>
      <c r="B33" s="582" t="s">
        <v>947</v>
      </c>
      <c r="C33" s="522"/>
      <c r="D33" s="522"/>
      <c r="E33" s="522"/>
      <c r="F33" s="522"/>
      <c r="G33" s="522"/>
      <c r="H33" s="522"/>
      <c r="I33" s="522"/>
      <c r="J33" s="518"/>
      <c r="K33" s="48"/>
      <c r="L33" s="48"/>
    </row>
    <row r="34" spans="1:12" ht="15" customHeight="1" x14ac:dyDescent="0.25">
      <c r="A34" s="49"/>
      <c r="B34" s="49"/>
      <c r="C34" s="49"/>
      <c r="D34" s="49"/>
      <c r="E34" s="49"/>
      <c r="F34" s="48"/>
      <c r="G34" s="48"/>
      <c r="H34" s="48"/>
      <c r="I34" s="48"/>
      <c r="J34" s="48"/>
      <c r="K34" s="48"/>
      <c r="L34" s="48"/>
    </row>
    <row r="35" spans="1:12" ht="16.5" customHeight="1" x14ac:dyDescent="0.25">
      <c r="A35" s="1677" t="s">
        <v>9</v>
      </c>
      <c r="B35" s="1677"/>
      <c r="C35" s="1677"/>
      <c r="D35" s="49"/>
      <c r="E35" s="49"/>
      <c r="F35" s="49"/>
      <c r="G35" s="49"/>
      <c r="H35" s="49"/>
      <c r="I35" s="49"/>
      <c r="J35" s="49"/>
      <c r="K35" s="49"/>
      <c r="L35" s="49"/>
    </row>
    <row r="36" spans="1:12" ht="15" customHeight="1" x14ac:dyDescent="0.25">
      <c r="A36" s="49"/>
      <c r="B36" s="49"/>
      <c r="C36" s="49"/>
      <c r="D36" s="49"/>
      <c r="E36" s="49"/>
      <c r="F36" s="48"/>
      <c r="G36" s="48"/>
      <c r="H36" s="48"/>
      <c r="I36" s="48"/>
      <c r="J36" s="48"/>
      <c r="K36" s="48"/>
      <c r="L36" s="48"/>
    </row>
    <row r="37" spans="1:12" ht="15" customHeight="1" x14ac:dyDescent="0.25">
      <c r="A37" s="49"/>
      <c r="B37" s="671" t="s">
        <v>1109</v>
      </c>
      <c r="C37" s="49"/>
      <c r="D37" s="49"/>
      <c r="E37" s="49"/>
      <c r="F37" s="48"/>
      <c r="G37" s="48"/>
      <c r="H37" s="48"/>
      <c r="I37" s="48"/>
      <c r="J37" s="48"/>
      <c r="K37" s="48"/>
      <c r="L37" s="48"/>
    </row>
    <row r="38" spans="1:12" ht="12" customHeight="1" x14ac:dyDescent="0.25">
      <c r="A38" s="49"/>
      <c r="B38" s="121"/>
      <c r="C38" s="49"/>
      <c r="D38" s="49"/>
      <c r="E38" s="49"/>
      <c r="F38" s="48"/>
      <c r="G38" s="48"/>
      <c r="H38" s="48"/>
      <c r="I38" s="48"/>
      <c r="J38" s="48"/>
      <c r="K38" s="48"/>
      <c r="L38" s="48"/>
    </row>
    <row r="39" spans="1:12" ht="26.25" customHeight="1" x14ac:dyDescent="0.25">
      <c r="A39" s="49"/>
      <c r="B39" s="1140" t="s">
        <v>78</v>
      </c>
      <c r="C39" s="1136" t="s">
        <v>153</v>
      </c>
      <c r="D39" s="1136" t="s">
        <v>11</v>
      </c>
      <c r="E39" s="1136" t="s">
        <v>79</v>
      </c>
      <c r="F39" s="1137" t="s">
        <v>2109</v>
      </c>
      <c r="G39" s="1137" t="s">
        <v>80</v>
      </c>
      <c r="H39" s="1629" t="s">
        <v>15</v>
      </c>
      <c r="I39" s="1629"/>
      <c r="J39" s="1666" t="s">
        <v>89</v>
      </c>
      <c r="K39" s="1666"/>
      <c r="L39" s="48"/>
    </row>
    <row r="40" spans="1:12" x14ac:dyDescent="0.25">
      <c r="A40" s="49"/>
      <c r="B40" s="1138" t="s">
        <v>62</v>
      </c>
      <c r="C40" s="1138"/>
      <c r="D40" s="1138"/>
      <c r="E40" s="1138"/>
      <c r="F40" s="252">
        <f>IF(B40&lt;&gt;"",E40*D40,0)</f>
        <v>0</v>
      </c>
      <c r="G40" s="1138" t="s">
        <v>62</v>
      </c>
      <c r="H40" s="1777"/>
      <c r="I40" s="1777"/>
      <c r="J40" s="1778" t="str">
        <f>IF(OR(B40&lt;&gt;"",G40="Select"),"",IF(AND(G40="Yes",H40&lt;&gt;""),"Yes","No"))</f>
        <v/>
      </c>
      <c r="K40" s="1779"/>
      <c r="L40" s="48"/>
    </row>
    <row r="41" spans="1:12" x14ac:dyDescent="0.25">
      <c r="A41" s="49"/>
      <c r="B41" s="1138" t="s">
        <v>62</v>
      </c>
      <c r="C41" s="1138"/>
      <c r="D41" s="1138"/>
      <c r="E41" s="1139"/>
      <c r="F41" s="252">
        <f t="shared" ref="F41:F59" si="0">IF(B41&lt;&gt;"",E41*D41,0)</f>
        <v>0</v>
      </c>
      <c r="G41" s="1138" t="s">
        <v>62</v>
      </c>
      <c r="H41" s="1777"/>
      <c r="I41" s="1777"/>
      <c r="J41" s="1778" t="str">
        <f t="shared" ref="J41:J59" si="1">IF(OR(B41&lt;&gt;"",G41="Select"),"",IF(AND(G41="Yes",H41&lt;&gt;""),"Yes","No"))</f>
        <v/>
      </c>
      <c r="K41" s="1779"/>
      <c r="L41" s="48"/>
    </row>
    <row r="42" spans="1:12" x14ac:dyDescent="0.25">
      <c r="A42" s="49"/>
      <c r="B42" s="1138" t="s">
        <v>62</v>
      </c>
      <c r="C42" s="1139"/>
      <c r="D42" s="1139"/>
      <c r="E42" s="1139"/>
      <c r="F42" s="252">
        <f t="shared" si="0"/>
        <v>0</v>
      </c>
      <c r="G42" s="1138" t="s">
        <v>62</v>
      </c>
      <c r="H42" s="1777"/>
      <c r="I42" s="1777"/>
      <c r="J42" s="1778" t="str">
        <f t="shared" si="1"/>
        <v/>
      </c>
      <c r="K42" s="1779"/>
      <c r="L42" s="48"/>
    </row>
    <row r="43" spans="1:12" x14ac:dyDescent="0.25">
      <c r="A43" s="49"/>
      <c r="B43" s="1138" t="s">
        <v>62</v>
      </c>
      <c r="C43" s="1139"/>
      <c r="D43" s="1139"/>
      <c r="E43" s="1139"/>
      <c r="F43" s="252">
        <f t="shared" si="0"/>
        <v>0</v>
      </c>
      <c r="G43" s="1138" t="s">
        <v>62</v>
      </c>
      <c r="H43" s="1777"/>
      <c r="I43" s="1777"/>
      <c r="J43" s="1778" t="str">
        <f t="shared" si="1"/>
        <v/>
      </c>
      <c r="K43" s="1779"/>
      <c r="L43" s="48"/>
    </row>
    <row r="44" spans="1:12" x14ac:dyDescent="0.25">
      <c r="A44" s="49"/>
      <c r="B44" s="1138" t="s">
        <v>62</v>
      </c>
      <c r="C44" s="1139"/>
      <c r="D44" s="1139"/>
      <c r="E44" s="1139"/>
      <c r="F44" s="252">
        <f t="shared" si="0"/>
        <v>0</v>
      </c>
      <c r="G44" s="1138" t="s">
        <v>62</v>
      </c>
      <c r="H44" s="1777"/>
      <c r="I44" s="1777"/>
      <c r="J44" s="1778" t="str">
        <f t="shared" si="1"/>
        <v/>
      </c>
      <c r="K44" s="1779"/>
      <c r="L44" s="48"/>
    </row>
    <row r="45" spans="1:12" x14ac:dyDescent="0.25">
      <c r="A45" s="49"/>
      <c r="B45" s="1138" t="s">
        <v>62</v>
      </c>
      <c r="C45" s="1139"/>
      <c r="D45" s="1139"/>
      <c r="E45" s="1139"/>
      <c r="F45" s="252">
        <f t="shared" si="0"/>
        <v>0</v>
      </c>
      <c r="G45" s="1138" t="s">
        <v>62</v>
      </c>
      <c r="H45" s="1777"/>
      <c r="I45" s="1777"/>
      <c r="J45" s="1778" t="str">
        <f t="shared" si="1"/>
        <v/>
      </c>
      <c r="K45" s="1779"/>
      <c r="L45" s="48"/>
    </row>
    <row r="46" spans="1:12" x14ac:dyDescent="0.25">
      <c r="A46" s="49"/>
      <c r="B46" s="1138" t="s">
        <v>62</v>
      </c>
      <c r="C46" s="1139"/>
      <c r="D46" s="1139"/>
      <c r="E46" s="1139"/>
      <c r="F46" s="252">
        <f t="shared" si="0"/>
        <v>0</v>
      </c>
      <c r="G46" s="1138" t="s">
        <v>62</v>
      </c>
      <c r="H46" s="1777"/>
      <c r="I46" s="1777"/>
      <c r="J46" s="1778" t="str">
        <f t="shared" si="1"/>
        <v/>
      </c>
      <c r="K46" s="1779"/>
      <c r="L46" s="48"/>
    </row>
    <row r="47" spans="1:12" x14ac:dyDescent="0.25">
      <c r="A47" s="49"/>
      <c r="B47" s="1138" t="s">
        <v>62</v>
      </c>
      <c r="C47" s="1139"/>
      <c r="D47" s="1139"/>
      <c r="E47" s="1139"/>
      <c r="F47" s="252">
        <f t="shared" si="0"/>
        <v>0</v>
      </c>
      <c r="G47" s="1138" t="s">
        <v>62</v>
      </c>
      <c r="H47" s="1777"/>
      <c r="I47" s="1777"/>
      <c r="J47" s="1778" t="str">
        <f t="shared" si="1"/>
        <v/>
      </c>
      <c r="K47" s="1779"/>
      <c r="L47" s="48"/>
    </row>
    <row r="48" spans="1:12" x14ac:dyDescent="0.25">
      <c r="A48" s="49"/>
      <c r="B48" s="1138" t="s">
        <v>62</v>
      </c>
      <c r="C48" s="1139"/>
      <c r="D48" s="1139"/>
      <c r="E48" s="1139"/>
      <c r="F48" s="252">
        <f t="shared" si="0"/>
        <v>0</v>
      </c>
      <c r="G48" s="1138" t="s">
        <v>62</v>
      </c>
      <c r="H48" s="1777"/>
      <c r="I48" s="1777"/>
      <c r="J48" s="1778" t="str">
        <f t="shared" si="1"/>
        <v/>
      </c>
      <c r="K48" s="1779"/>
      <c r="L48" s="48"/>
    </row>
    <row r="49" spans="1:12" x14ac:dyDescent="0.25">
      <c r="A49" s="49"/>
      <c r="B49" s="1138" t="s">
        <v>62</v>
      </c>
      <c r="C49" s="1139"/>
      <c r="D49" s="1139"/>
      <c r="E49" s="1139"/>
      <c r="F49" s="252">
        <f t="shared" si="0"/>
        <v>0</v>
      </c>
      <c r="G49" s="1138" t="s">
        <v>62</v>
      </c>
      <c r="H49" s="1777"/>
      <c r="I49" s="1777"/>
      <c r="J49" s="1778" t="str">
        <f t="shared" si="1"/>
        <v/>
      </c>
      <c r="K49" s="1779"/>
      <c r="L49" s="48"/>
    </row>
    <row r="50" spans="1:12" x14ac:dyDescent="0.25">
      <c r="A50" s="49"/>
      <c r="B50" s="1138" t="s">
        <v>62</v>
      </c>
      <c r="C50" s="1139"/>
      <c r="D50" s="1139"/>
      <c r="E50" s="1139"/>
      <c r="F50" s="252">
        <f t="shared" si="0"/>
        <v>0</v>
      </c>
      <c r="G50" s="1138" t="s">
        <v>62</v>
      </c>
      <c r="H50" s="1777"/>
      <c r="I50" s="1777"/>
      <c r="J50" s="1778" t="str">
        <f t="shared" si="1"/>
        <v/>
      </c>
      <c r="K50" s="1779"/>
      <c r="L50" s="48"/>
    </row>
    <row r="51" spans="1:12" x14ac:dyDescent="0.25">
      <c r="A51" s="49"/>
      <c r="B51" s="1138" t="s">
        <v>62</v>
      </c>
      <c r="C51" s="1139"/>
      <c r="D51" s="1139"/>
      <c r="E51" s="1139"/>
      <c r="F51" s="252">
        <f t="shared" si="0"/>
        <v>0</v>
      </c>
      <c r="G51" s="1138" t="s">
        <v>62</v>
      </c>
      <c r="H51" s="1777"/>
      <c r="I51" s="1777"/>
      <c r="J51" s="1778" t="str">
        <f t="shared" si="1"/>
        <v/>
      </c>
      <c r="K51" s="1779"/>
      <c r="L51" s="48"/>
    </row>
    <row r="52" spans="1:12" x14ac:dyDescent="0.25">
      <c r="A52" s="49"/>
      <c r="B52" s="1138" t="s">
        <v>62</v>
      </c>
      <c r="C52" s="1139"/>
      <c r="D52" s="1139"/>
      <c r="E52" s="1139"/>
      <c r="F52" s="252">
        <f t="shared" si="0"/>
        <v>0</v>
      </c>
      <c r="G52" s="1138" t="s">
        <v>62</v>
      </c>
      <c r="H52" s="1777"/>
      <c r="I52" s="1777"/>
      <c r="J52" s="1778" t="str">
        <f t="shared" si="1"/>
        <v/>
      </c>
      <c r="K52" s="1779"/>
      <c r="L52" s="48"/>
    </row>
    <row r="53" spans="1:12" x14ac:dyDescent="0.25">
      <c r="A53" s="49"/>
      <c r="B53" s="1138" t="s">
        <v>62</v>
      </c>
      <c r="C53" s="1139"/>
      <c r="D53" s="1139"/>
      <c r="E53" s="1139"/>
      <c r="F53" s="252">
        <f t="shared" si="0"/>
        <v>0</v>
      </c>
      <c r="G53" s="1138" t="s">
        <v>62</v>
      </c>
      <c r="H53" s="1777"/>
      <c r="I53" s="1777"/>
      <c r="J53" s="1778" t="str">
        <f t="shared" si="1"/>
        <v/>
      </c>
      <c r="K53" s="1779"/>
      <c r="L53" s="48"/>
    </row>
    <row r="54" spans="1:12" x14ac:dyDescent="0.25">
      <c r="A54" s="49"/>
      <c r="B54" s="1138" t="s">
        <v>62</v>
      </c>
      <c r="C54" s="1139"/>
      <c r="D54" s="1139"/>
      <c r="E54" s="1139"/>
      <c r="F54" s="252">
        <f t="shared" si="0"/>
        <v>0</v>
      </c>
      <c r="G54" s="1138" t="s">
        <v>62</v>
      </c>
      <c r="H54" s="1777"/>
      <c r="I54" s="1777"/>
      <c r="J54" s="1778" t="str">
        <f t="shared" si="1"/>
        <v/>
      </c>
      <c r="K54" s="1779"/>
      <c r="L54" s="48"/>
    </row>
    <row r="55" spans="1:12" x14ac:dyDescent="0.25">
      <c r="A55" s="49"/>
      <c r="B55" s="1138" t="s">
        <v>62</v>
      </c>
      <c r="C55" s="1139"/>
      <c r="D55" s="1139"/>
      <c r="E55" s="1139"/>
      <c r="F55" s="252">
        <f t="shared" si="0"/>
        <v>0</v>
      </c>
      <c r="G55" s="1138" t="s">
        <v>62</v>
      </c>
      <c r="H55" s="1777"/>
      <c r="I55" s="1777"/>
      <c r="J55" s="1778" t="str">
        <f t="shared" si="1"/>
        <v/>
      </c>
      <c r="K55" s="1779"/>
      <c r="L55" s="48"/>
    </row>
    <row r="56" spans="1:12" x14ac:dyDescent="0.25">
      <c r="A56" s="49"/>
      <c r="B56" s="1138" t="s">
        <v>62</v>
      </c>
      <c r="C56" s="1139"/>
      <c r="D56" s="1139"/>
      <c r="E56" s="1139"/>
      <c r="F56" s="252">
        <f t="shared" si="0"/>
        <v>0</v>
      </c>
      <c r="G56" s="1138" t="s">
        <v>62</v>
      </c>
      <c r="H56" s="1777"/>
      <c r="I56" s="1777"/>
      <c r="J56" s="1778" t="str">
        <f t="shared" si="1"/>
        <v/>
      </c>
      <c r="K56" s="1779"/>
      <c r="L56" s="48"/>
    </row>
    <row r="57" spans="1:12" x14ac:dyDescent="0.25">
      <c r="A57" s="49"/>
      <c r="B57" s="1138" t="s">
        <v>62</v>
      </c>
      <c r="C57" s="1139"/>
      <c r="D57" s="1139"/>
      <c r="E57" s="1139"/>
      <c r="F57" s="252">
        <f t="shared" si="0"/>
        <v>0</v>
      </c>
      <c r="G57" s="1138" t="s">
        <v>62</v>
      </c>
      <c r="H57" s="1777"/>
      <c r="I57" s="1777"/>
      <c r="J57" s="1778" t="str">
        <f t="shared" si="1"/>
        <v/>
      </c>
      <c r="K57" s="1779"/>
      <c r="L57" s="48"/>
    </row>
    <row r="58" spans="1:12" x14ac:dyDescent="0.25">
      <c r="A58" s="49"/>
      <c r="B58" s="1138" t="s">
        <v>62</v>
      </c>
      <c r="C58" s="1139"/>
      <c r="D58" s="1139"/>
      <c r="E58" s="1139"/>
      <c r="F58" s="252">
        <f t="shared" si="0"/>
        <v>0</v>
      </c>
      <c r="G58" s="1138" t="s">
        <v>62</v>
      </c>
      <c r="H58" s="1777"/>
      <c r="I58" s="1777"/>
      <c r="J58" s="1778" t="str">
        <f t="shared" si="1"/>
        <v/>
      </c>
      <c r="K58" s="1779"/>
      <c r="L58" s="48"/>
    </row>
    <row r="59" spans="1:12" x14ac:dyDescent="0.25">
      <c r="A59" s="49"/>
      <c r="B59" s="1138" t="s">
        <v>62</v>
      </c>
      <c r="C59" s="1139"/>
      <c r="D59" s="1139"/>
      <c r="E59" s="1139"/>
      <c r="F59" s="252">
        <f t="shared" si="0"/>
        <v>0</v>
      </c>
      <c r="G59" s="1138" t="s">
        <v>62</v>
      </c>
      <c r="H59" s="1777"/>
      <c r="I59" s="1777"/>
      <c r="J59" s="1778" t="str">
        <f t="shared" si="1"/>
        <v/>
      </c>
      <c r="K59" s="1779"/>
      <c r="L59" s="48"/>
    </row>
    <row r="60" spans="1:12" ht="17.25" customHeight="1" x14ac:dyDescent="0.25">
      <c r="A60" s="49"/>
      <c r="B60" s="49"/>
      <c r="C60" s="49"/>
      <c r="D60" s="49"/>
      <c r="E60" s="49"/>
      <c r="F60" s="48"/>
      <c r="G60" s="48"/>
      <c r="H60" s="48"/>
      <c r="I60" s="48"/>
      <c r="J60" s="48"/>
      <c r="K60" s="48"/>
      <c r="L60" s="48"/>
    </row>
    <row r="61" spans="1:12" ht="18" customHeight="1" x14ac:dyDescent="0.25">
      <c r="A61" s="49"/>
      <c r="B61" s="1621" t="s">
        <v>951</v>
      </c>
      <c r="C61" s="1621"/>
      <c r="D61" s="1621"/>
      <c r="E61" s="1621"/>
      <c r="F61" s="67">
        <f ca="1">IFERROR(SUMIF(J40:K59,"Yes",F40:F59)/SUM(F40:F59),0)</f>
        <v>0</v>
      </c>
      <c r="G61" s="62" t="str">
        <f ca="1">IF(C71&lt;&gt;0,"",IF(F61&gt;=0.8,"→ 3 points can be achieved by submitting required documentation",IF(F61&gt;=0.6,"→ 2 points can be achieved by submitting required documentation",IF(F61&gt;=0.4,"→ 1 point can be achieved by submitting required documentation",""))))</f>
        <v/>
      </c>
      <c r="H61" s="48"/>
      <c r="I61" s="48"/>
      <c r="J61" s="48"/>
      <c r="K61" s="48"/>
      <c r="L61" s="48"/>
    </row>
    <row r="62" spans="1:12" ht="18" customHeight="1" x14ac:dyDescent="0.25">
      <c r="A62" s="49"/>
      <c r="B62" s="49"/>
      <c r="C62" s="49"/>
      <c r="D62" s="49"/>
      <c r="E62" s="49"/>
      <c r="F62" s="48"/>
      <c r="G62" s="48"/>
      <c r="H62" s="48"/>
      <c r="I62" s="48"/>
      <c r="J62" s="48"/>
      <c r="K62" s="48"/>
      <c r="L62" s="48"/>
    </row>
    <row r="63" spans="1:12" ht="16.5" customHeight="1" x14ac:dyDescent="0.25">
      <c r="A63" s="1677" t="s">
        <v>97</v>
      </c>
      <c r="B63" s="1677"/>
      <c r="C63" s="1677"/>
      <c r="D63" s="49"/>
      <c r="E63" s="49"/>
      <c r="F63" s="49"/>
      <c r="G63" s="49"/>
      <c r="H63" s="49"/>
      <c r="I63" s="49"/>
      <c r="J63" s="49"/>
      <c r="K63" s="49"/>
      <c r="L63" s="49"/>
    </row>
    <row r="64" spans="1:12" x14ac:dyDescent="0.25">
      <c r="A64" s="48"/>
      <c r="B64" s="49"/>
      <c r="C64" s="49"/>
      <c r="D64" s="49"/>
      <c r="E64" s="48"/>
      <c r="F64" s="48"/>
      <c r="G64" s="48"/>
      <c r="H64" s="48"/>
      <c r="I64" s="48"/>
      <c r="J64" s="48"/>
      <c r="K64" s="48"/>
      <c r="L64" s="48"/>
    </row>
    <row r="65" spans="1:14" ht="21" customHeight="1" x14ac:dyDescent="0.25">
      <c r="A65" s="48"/>
      <c r="B65" s="1627" t="s">
        <v>98</v>
      </c>
      <c r="C65" s="1628"/>
      <c r="D65" s="1628"/>
      <c r="E65" s="1628"/>
      <c r="F65" s="1628"/>
      <c r="G65" s="769" t="s">
        <v>1297</v>
      </c>
      <c r="H65" s="1629" t="s">
        <v>1298</v>
      </c>
      <c r="I65" s="1630"/>
      <c r="J65" s="48"/>
      <c r="K65" s="48"/>
      <c r="L65" s="48"/>
    </row>
    <row r="66" spans="1:14" ht="30" customHeight="1" x14ac:dyDescent="0.25">
      <c r="A66" s="48"/>
      <c r="B66" s="1644" t="str">
        <f>Submittals!H29</f>
        <v>Select the Submission Stage in Project Information</v>
      </c>
      <c r="C66" s="1645"/>
      <c r="D66" s="1645"/>
      <c r="E66" s="1645"/>
      <c r="F66" s="1646"/>
      <c r="G66" s="780" t="s">
        <v>62</v>
      </c>
      <c r="H66" s="1625"/>
      <c r="I66" s="1626"/>
      <c r="J66" s="667"/>
      <c r="K66" s="49"/>
      <c r="L66" s="48"/>
      <c r="M66" s="37" t="str">
        <f>IF(OR(B66="/",B66="No evidence required at this submission stage"),"Yes",IF(G66="Submitted","Yes","No"))</f>
        <v>No</v>
      </c>
    </row>
    <row r="67" spans="1:14" ht="30" customHeight="1" x14ac:dyDescent="0.25">
      <c r="A67" s="48"/>
      <c r="B67" s="1644" t="str">
        <f>Submittals!H30</f>
        <v>Select the Submission Stage in Project Information</v>
      </c>
      <c r="C67" s="1645"/>
      <c r="D67" s="1645"/>
      <c r="E67" s="1645"/>
      <c r="F67" s="1646"/>
      <c r="G67" s="780" t="s">
        <v>62</v>
      </c>
      <c r="H67" s="1687"/>
      <c r="I67" s="1688"/>
      <c r="J67" s="667"/>
      <c r="K67" s="49"/>
      <c r="L67" s="48"/>
      <c r="M67" s="37" t="str">
        <f>IF(OR(B67="/",B67="No evidence required at this submission stage"),"Yes",IF(G67="Submitted","Yes","No"))</f>
        <v>No</v>
      </c>
    </row>
    <row r="68" spans="1:14" ht="21.75" customHeight="1" x14ac:dyDescent="0.25">
      <c r="A68" s="48"/>
      <c r="B68" s="48"/>
      <c r="C68" s="48"/>
      <c r="D68" s="48"/>
      <c r="E68" s="48"/>
      <c r="F68" s="48"/>
      <c r="G68" s="48"/>
      <c r="H68" s="48"/>
      <c r="I68" s="48"/>
      <c r="J68" s="48"/>
      <c r="K68" s="48"/>
      <c r="L68" s="48"/>
    </row>
    <row r="69" spans="1:14" ht="16.5" customHeight="1" x14ac:dyDescent="0.25">
      <c r="A69" s="1677" t="s">
        <v>8</v>
      </c>
      <c r="B69" s="1677"/>
      <c r="C69" s="1677"/>
      <c r="D69" s="48"/>
      <c r="E69" s="48"/>
      <c r="F69" s="48"/>
      <c r="G69" s="48"/>
      <c r="H69" s="48"/>
      <c r="I69" s="48"/>
      <c r="J69" s="48"/>
      <c r="K69" s="48"/>
      <c r="L69" s="48"/>
    </row>
    <row r="70" spans="1:14" ht="17.25" customHeight="1" x14ac:dyDescent="0.25">
      <c r="A70" s="49"/>
      <c r="B70" s="49"/>
      <c r="C70" s="49"/>
      <c r="D70" s="49"/>
      <c r="E70" s="49"/>
      <c r="F70" s="48"/>
      <c r="G70" s="48"/>
      <c r="H70" s="48"/>
      <c r="I70" s="48"/>
      <c r="J70" s="48"/>
      <c r="K70" s="48"/>
      <c r="L70" s="48"/>
    </row>
    <row r="71" spans="1:14" ht="18" customHeight="1" x14ac:dyDescent="0.25">
      <c r="A71" s="49"/>
      <c r="B71" s="110" t="s">
        <v>19</v>
      </c>
      <c r="C71" s="8">
        <f ca="1">IF(F61=0,0,IF(F61&gt;=0.9,4,IF(F61&gt;=0.7,3,IF(F61&gt;=0.5,2,IF(F61&gt;=0.3,1,0)))))</f>
        <v>0</v>
      </c>
      <c r="D71" s="49"/>
      <c r="E71" s="49"/>
      <c r="F71" s="48"/>
      <c r="G71" s="48"/>
      <c r="H71" s="48"/>
      <c r="I71" s="48"/>
      <c r="J71" s="48"/>
      <c r="K71" s="48"/>
      <c r="L71" s="48"/>
    </row>
    <row r="72" spans="1:14" ht="18" customHeight="1" x14ac:dyDescent="0.25">
      <c r="A72" s="49"/>
      <c r="B72" s="110" t="s">
        <v>151</v>
      </c>
      <c r="C72" s="7" t="str">
        <f ca="1">IF(AND(COUNTIF(M66:M67,"Yes")=2,C71&gt;0),"Yes","No")</f>
        <v>No</v>
      </c>
      <c r="D72" s="49"/>
      <c r="E72" s="49"/>
      <c r="F72" s="48"/>
      <c r="G72" s="48"/>
      <c r="H72" s="48"/>
      <c r="I72" s="48"/>
      <c r="J72" s="48"/>
      <c r="K72" s="48"/>
      <c r="L72" s="48"/>
    </row>
    <row r="73" spans="1:14" ht="21" customHeight="1" x14ac:dyDescent="0.25">
      <c r="A73" s="49"/>
      <c r="B73" s="49"/>
      <c r="C73" s="49"/>
      <c r="D73" s="49"/>
      <c r="E73" s="49"/>
      <c r="F73" s="48"/>
      <c r="G73" s="48"/>
      <c r="H73" s="48"/>
      <c r="I73" s="48"/>
      <c r="J73" s="48"/>
      <c r="K73" s="48"/>
      <c r="L73" s="48"/>
    </row>
    <row r="74" spans="1:14" ht="18" customHeight="1" x14ac:dyDescent="0.25">
      <c r="A74" s="1676" t="s">
        <v>425</v>
      </c>
      <c r="B74" s="1676"/>
      <c r="C74" s="1676"/>
      <c r="D74" s="1676"/>
      <c r="E74" s="1676"/>
      <c r="F74" s="1676"/>
      <c r="G74" s="1676"/>
      <c r="H74" s="1676"/>
      <c r="I74" s="1676"/>
      <c r="J74" s="1676"/>
      <c r="K74" s="1676"/>
      <c r="L74" s="1676"/>
    </row>
    <row r="75" spans="1:14" ht="15" customHeight="1" x14ac:dyDescent="0.25">
      <c r="A75" s="49"/>
      <c r="B75" s="49"/>
      <c r="C75" s="49"/>
      <c r="D75" s="49"/>
      <c r="E75" s="49"/>
      <c r="F75" s="48"/>
      <c r="G75" s="48"/>
      <c r="H75" s="48"/>
      <c r="I75" s="48"/>
      <c r="J75" s="48"/>
      <c r="K75" s="48"/>
      <c r="L75" s="48"/>
    </row>
    <row r="76" spans="1:14" ht="16.5" customHeight="1" x14ac:dyDescent="0.25">
      <c r="A76" s="1677" t="s">
        <v>423</v>
      </c>
      <c r="B76" s="1677"/>
      <c r="C76" s="1677"/>
      <c r="D76" s="49"/>
      <c r="E76" s="49"/>
      <c r="F76" s="48"/>
      <c r="G76" s="48"/>
      <c r="H76" s="48"/>
      <c r="I76" s="48"/>
      <c r="J76" s="48"/>
      <c r="K76" s="48"/>
      <c r="L76" s="48"/>
    </row>
    <row r="77" spans="1:14" ht="15" customHeight="1" x14ac:dyDescent="0.25">
      <c r="A77" s="49"/>
      <c r="B77" s="49"/>
      <c r="C77" s="49"/>
      <c r="D77" s="49"/>
      <c r="E77" s="49"/>
      <c r="F77" s="48"/>
      <c r="G77" s="48"/>
      <c r="H77" s="48"/>
      <c r="I77" s="48"/>
      <c r="J77" s="48"/>
      <c r="K77" s="48"/>
      <c r="L77" s="48"/>
    </row>
    <row r="78" spans="1:14" ht="15" customHeight="1" x14ac:dyDescent="0.25">
      <c r="A78" s="49"/>
      <c r="B78" s="625" t="s">
        <v>426</v>
      </c>
      <c r="C78" s="49"/>
      <c r="D78" s="49"/>
      <c r="E78" s="49"/>
      <c r="F78" s="48"/>
      <c r="G78" s="48"/>
      <c r="H78" s="48"/>
      <c r="I78" s="48"/>
      <c r="J78" s="48"/>
      <c r="K78" s="48"/>
      <c r="L78" s="48"/>
    </row>
    <row r="79" spans="1:14" ht="15" customHeight="1" x14ac:dyDescent="0.25">
      <c r="A79" s="49"/>
      <c r="B79" s="49"/>
      <c r="C79" s="49"/>
      <c r="D79" s="49"/>
      <c r="E79" s="49"/>
      <c r="F79" s="48"/>
      <c r="G79" s="48"/>
      <c r="H79" s="48"/>
      <c r="I79" s="48"/>
      <c r="J79" s="48"/>
      <c r="K79" s="48"/>
      <c r="L79" s="48"/>
      <c r="N79" s="48"/>
    </row>
    <row r="80" spans="1:14" ht="53.25" customHeight="1" x14ac:dyDescent="0.25">
      <c r="A80" s="49"/>
      <c r="B80" s="1659" t="s">
        <v>2001</v>
      </c>
      <c r="C80" s="1660"/>
      <c r="D80" s="1660"/>
      <c r="E80" s="1660"/>
      <c r="F80" s="1660"/>
      <c r="G80" s="1660"/>
      <c r="H80" s="1660"/>
      <c r="I80" s="1660"/>
      <c r="J80" s="1661"/>
      <c r="K80" s="48"/>
      <c r="L80" s="48"/>
      <c r="N80" s="48"/>
    </row>
    <row r="81" spans="1:14" ht="18.75" customHeight="1" x14ac:dyDescent="0.25">
      <c r="A81" s="49"/>
      <c r="B81" s="49"/>
      <c r="C81" s="49"/>
      <c r="D81" s="49"/>
      <c r="E81" s="49"/>
      <c r="F81" s="48"/>
      <c r="G81" s="48"/>
      <c r="H81" s="48"/>
      <c r="I81" s="48"/>
      <c r="J81" s="48"/>
      <c r="K81" s="48"/>
      <c r="L81" s="48"/>
      <c r="N81" s="48"/>
    </row>
    <row r="82" spans="1:14" ht="16.5" customHeight="1" x14ac:dyDescent="0.25">
      <c r="A82" s="49"/>
      <c r="B82" s="578" t="s">
        <v>948</v>
      </c>
      <c r="C82" s="586"/>
      <c r="D82" s="586"/>
      <c r="E82" s="586"/>
      <c r="F82" s="586"/>
      <c r="G82" s="586"/>
      <c r="H82" s="587"/>
      <c r="I82" s="48"/>
      <c r="J82" s="48"/>
      <c r="K82" s="48"/>
      <c r="L82" s="48"/>
      <c r="N82" s="48"/>
    </row>
    <row r="83" spans="1:14" ht="16.5" customHeight="1" x14ac:dyDescent="0.25">
      <c r="A83" s="49"/>
      <c r="B83" s="1783" t="s">
        <v>1111</v>
      </c>
      <c r="C83" s="1784"/>
      <c r="D83" s="1784"/>
      <c r="E83" s="1784"/>
      <c r="F83" s="1784"/>
      <c r="G83" s="1784"/>
      <c r="H83" s="1785"/>
      <c r="I83" s="48"/>
      <c r="J83" s="48"/>
      <c r="K83" s="48"/>
      <c r="L83" s="48"/>
    </row>
    <row r="84" spans="1:14" ht="16.5" customHeight="1" x14ac:dyDescent="0.25">
      <c r="A84" s="49"/>
      <c r="B84" s="1783" t="s">
        <v>950</v>
      </c>
      <c r="C84" s="1784"/>
      <c r="D84" s="1784"/>
      <c r="E84" s="1784"/>
      <c r="F84" s="1784"/>
      <c r="G84" s="1784"/>
      <c r="H84" s="1095"/>
      <c r="I84" s="48"/>
      <c r="J84" s="48"/>
      <c r="K84" s="48"/>
      <c r="L84" s="48"/>
    </row>
    <row r="85" spans="1:14" ht="16.5" customHeight="1" x14ac:dyDescent="0.25">
      <c r="A85" s="49"/>
      <c r="B85" s="1792" t="s">
        <v>949</v>
      </c>
      <c r="C85" s="1793"/>
      <c r="D85" s="1793"/>
      <c r="E85" s="1793"/>
      <c r="F85" s="1793"/>
      <c r="G85" s="1793"/>
      <c r="H85" s="1096"/>
      <c r="I85" s="48"/>
      <c r="J85" s="48"/>
      <c r="K85" s="48"/>
      <c r="L85" s="48"/>
    </row>
    <row r="86" spans="1:14" ht="15" customHeight="1" x14ac:dyDescent="0.25">
      <c r="A86" s="49"/>
      <c r="B86" s="49"/>
      <c r="C86" s="49"/>
      <c r="D86" s="49"/>
      <c r="E86" s="49"/>
      <c r="F86" s="48"/>
      <c r="G86" s="48"/>
      <c r="H86" s="48"/>
      <c r="I86" s="48"/>
      <c r="J86" s="48"/>
      <c r="K86" s="48"/>
      <c r="L86" s="48"/>
    </row>
    <row r="87" spans="1:14" ht="15" customHeight="1" x14ac:dyDescent="0.25">
      <c r="A87" s="49"/>
      <c r="B87" s="680" t="s">
        <v>428</v>
      </c>
      <c r="C87" s="49"/>
      <c r="D87" s="49"/>
      <c r="E87" s="49"/>
      <c r="F87" s="48"/>
      <c r="G87" s="48"/>
      <c r="H87" s="48"/>
      <c r="I87" s="48"/>
      <c r="J87" s="48"/>
      <c r="K87" s="48"/>
      <c r="L87" s="48"/>
    </row>
    <row r="88" spans="1:14" ht="18" customHeight="1" x14ac:dyDescent="0.25">
      <c r="A88" s="49"/>
      <c r="B88" s="49"/>
      <c r="C88" s="49"/>
      <c r="D88" s="49"/>
      <c r="E88" s="49"/>
      <c r="F88" s="48"/>
      <c r="G88" s="48"/>
      <c r="H88" s="48"/>
      <c r="I88" s="48"/>
      <c r="J88" s="48"/>
      <c r="K88" s="48"/>
      <c r="L88" s="48"/>
    </row>
    <row r="89" spans="1:14" ht="16.5" customHeight="1" x14ac:dyDescent="0.25">
      <c r="A89" s="1677" t="s">
        <v>9</v>
      </c>
      <c r="B89" s="1677"/>
      <c r="C89" s="1677"/>
      <c r="D89" s="48"/>
      <c r="E89" s="48"/>
      <c r="F89" s="48"/>
      <c r="G89" s="48"/>
      <c r="H89" s="48"/>
      <c r="I89" s="48"/>
      <c r="J89" s="48"/>
      <c r="K89" s="48"/>
      <c r="L89" s="48"/>
    </row>
    <row r="90" spans="1:14" x14ac:dyDescent="0.25">
      <c r="A90" s="49"/>
      <c r="B90" s="49"/>
      <c r="C90" s="49"/>
      <c r="D90" s="49"/>
      <c r="E90" s="49"/>
      <c r="F90" s="48"/>
      <c r="G90" s="48"/>
      <c r="H90" s="48"/>
      <c r="I90" s="48"/>
      <c r="J90" s="48"/>
      <c r="K90" s="48"/>
      <c r="L90" s="48"/>
    </row>
    <row r="91" spans="1:14" x14ac:dyDescent="0.25">
      <c r="A91" s="49"/>
      <c r="B91" s="671" t="s">
        <v>1110</v>
      </c>
      <c r="C91" s="49"/>
      <c r="D91" s="49"/>
      <c r="E91" s="49"/>
      <c r="F91" s="48"/>
      <c r="G91" s="48"/>
      <c r="H91" s="48"/>
      <c r="I91" s="48"/>
      <c r="J91" s="48"/>
      <c r="K91" s="48"/>
      <c r="L91" s="48"/>
    </row>
    <row r="92" spans="1:14" x14ac:dyDescent="0.25">
      <c r="A92" s="49"/>
      <c r="B92" s="49"/>
      <c r="C92" s="49"/>
      <c r="D92" s="49"/>
      <c r="E92" s="49"/>
      <c r="F92" s="48"/>
      <c r="G92" s="48"/>
      <c r="H92" s="48"/>
      <c r="I92" s="48"/>
      <c r="J92" s="48"/>
      <c r="K92" s="48"/>
      <c r="L92" s="48"/>
    </row>
    <row r="93" spans="1:14" ht="16.5" customHeight="1" x14ac:dyDescent="0.25">
      <c r="A93" s="49"/>
      <c r="B93" s="1745" t="s">
        <v>427</v>
      </c>
      <c r="C93" s="1629"/>
      <c r="D93" s="296"/>
      <c r="E93" s="49"/>
      <c r="F93" s="48"/>
      <c r="G93" s="48"/>
      <c r="H93" s="48"/>
      <c r="I93" s="48"/>
      <c r="J93" s="48"/>
      <c r="K93" s="48"/>
      <c r="L93" s="48"/>
    </row>
    <row r="94" spans="1:14" ht="14.25" customHeight="1" x14ac:dyDescent="0.25">
      <c r="A94" s="49"/>
      <c r="B94" s="49"/>
      <c r="C94" s="49"/>
      <c r="D94" s="49"/>
      <c r="E94" s="49"/>
      <c r="F94" s="48"/>
      <c r="G94" s="48"/>
      <c r="H94" s="48"/>
      <c r="I94" s="48"/>
      <c r="J94" s="48"/>
      <c r="K94" s="48"/>
      <c r="L94" s="48"/>
    </row>
    <row r="95" spans="1:14" ht="16.5" customHeight="1" x14ac:dyDescent="0.25">
      <c r="A95" s="49"/>
      <c r="B95" s="1745" t="s">
        <v>431</v>
      </c>
      <c r="C95" s="1629"/>
      <c r="D95" s="1629"/>
      <c r="E95" s="1630"/>
      <c r="F95" s="296"/>
      <c r="G95" s="48"/>
      <c r="H95" s="48"/>
      <c r="I95" s="48"/>
      <c r="J95" s="48"/>
      <c r="K95" s="48"/>
      <c r="L95" s="48"/>
    </row>
    <row r="96" spans="1:14" ht="16.5" customHeight="1" x14ac:dyDescent="0.25">
      <c r="A96" s="49"/>
      <c r="B96" s="1745" t="s">
        <v>429</v>
      </c>
      <c r="C96" s="1629"/>
      <c r="D96" s="1629"/>
      <c r="E96" s="1630"/>
      <c r="F96" s="296"/>
      <c r="G96" s="48"/>
      <c r="H96" s="48"/>
      <c r="I96" s="48"/>
      <c r="J96" s="48"/>
      <c r="K96" s="48"/>
      <c r="L96" s="48"/>
    </row>
    <row r="97" spans="1:13" ht="16.5" customHeight="1" x14ac:dyDescent="0.25">
      <c r="A97" s="49"/>
      <c r="B97" s="1745" t="s">
        <v>430</v>
      </c>
      <c r="C97" s="1629"/>
      <c r="D97" s="1629"/>
      <c r="E97" s="1630"/>
      <c r="F97" s="296"/>
      <c r="G97" s="48"/>
      <c r="H97" s="48"/>
      <c r="I97" s="48"/>
      <c r="J97" s="48"/>
      <c r="K97" s="48"/>
      <c r="L97" s="48"/>
    </row>
    <row r="98" spans="1:13" ht="16.5" customHeight="1" x14ac:dyDescent="0.25">
      <c r="A98" s="49"/>
      <c r="B98" s="49"/>
      <c r="C98" s="49"/>
      <c r="D98" s="49"/>
      <c r="E98" s="49"/>
      <c r="F98" s="48"/>
      <c r="G98" s="48"/>
      <c r="H98" s="48"/>
      <c r="I98" s="48"/>
      <c r="J98" s="48"/>
      <c r="K98" s="48"/>
      <c r="L98" s="48"/>
    </row>
    <row r="99" spans="1:13" ht="16.5" customHeight="1" x14ac:dyDescent="0.25">
      <c r="A99" s="49"/>
      <c r="B99" s="49" t="s">
        <v>433</v>
      </c>
      <c r="C99" s="49"/>
      <c r="D99" s="49"/>
      <c r="E99" s="49"/>
      <c r="F99" s="48"/>
      <c r="G99" s="48"/>
      <c r="H99" s="48"/>
      <c r="I99" s="48"/>
      <c r="J99" s="48"/>
      <c r="K99" s="48"/>
      <c r="L99" s="48"/>
    </row>
    <row r="100" spans="1:13" ht="16.5" customHeight="1" x14ac:dyDescent="0.25">
      <c r="A100" s="49"/>
      <c r="B100" s="1745" t="s">
        <v>432</v>
      </c>
      <c r="C100" s="1629"/>
      <c r="D100" s="1629"/>
      <c r="E100" s="1630"/>
      <c r="F100" s="296"/>
      <c r="G100" s="48"/>
      <c r="H100" s="48"/>
      <c r="I100" s="48"/>
      <c r="J100" s="48"/>
      <c r="K100" s="48"/>
      <c r="L100" s="48"/>
    </row>
    <row r="101" spans="1:13" ht="21" customHeight="1" x14ac:dyDescent="0.25">
      <c r="A101" s="49"/>
      <c r="B101" s="49"/>
      <c r="C101" s="49"/>
      <c r="D101" s="49"/>
      <c r="E101" s="49"/>
      <c r="F101" s="48"/>
      <c r="G101" s="48"/>
      <c r="H101" s="48"/>
      <c r="I101" s="48"/>
      <c r="J101" s="48"/>
      <c r="K101" s="48"/>
      <c r="L101" s="48"/>
    </row>
    <row r="102" spans="1:13" ht="29.25" customHeight="1" x14ac:dyDescent="0.25">
      <c r="A102" s="49"/>
      <c r="B102" s="1693" t="s">
        <v>435</v>
      </c>
      <c r="C102" s="1666"/>
      <c r="D102" s="1666"/>
      <c r="E102" s="1666"/>
      <c r="F102" s="1681"/>
      <c r="G102" s="321"/>
      <c r="H102" s="48"/>
      <c r="I102" s="48"/>
      <c r="J102" s="48"/>
      <c r="K102" s="48"/>
      <c r="L102" s="48"/>
    </row>
    <row r="103" spans="1:13" ht="21" customHeight="1" x14ac:dyDescent="0.25">
      <c r="A103" s="49"/>
      <c r="B103" s="49"/>
      <c r="C103" s="49"/>
      <c r="D103" s="49"/>
      <c r="E103" s="49"/>
      <c r="F103" s="48"/>
      <c r="G103" s="48"/>
      <c r="H103" s="48"/>
      <c r="I103" s="48"/>
      <c r="J103" s="48"/>
      <c r="K103" s="48"/>
      <c r="L103" s="48"/>
    </row>
    <row r="104" spans="1:13" ht="21" customHeight="1" x14ac:dyDescent="0.25">
      <c r="A104" s="49"/>
      <c r="B104" s="1678" t="s">
        <v>434</v>
      </c>
      <c r="C104" s="1679"/>
      <c r="D104" s="1680"/>
      <c r="E104" s="70">
        <f>IFERROR((F95+F96+F97+F100)/(D93-G102),0)</f>
        <v>0</v>
      </c>
      <c r="F104" s="48"/>
      <c r="G104" s="48"/>
      <c r="H104" s="48"/>
      <c r="I104" s="48"/>
      <c r="J104" s="48"/>
      <c r="K104" s="48"/>
      <c r="L104" s="48"/>
    </row>
    <row r="105" spans="1:13" ht="21" customHeight="1" x14ac:dyDescent="0.25">
      <c r="A105" s="49"/>
      <c r="B105" s="49"/>
      <c r="C105" s="49"/>
      <c r="D105" s="49"/>
      <c r="E105" s="49"/>
      <c r="F105" s="48"/>
      <c r="G105" s="48"/>
      <c r="H105" s="48"/>
      <c r="I105" s="48"/>
      <c r="J105" s="48"/>
      <c r="K105" s="48"/>
      <c r="L105" s="48"/>
    </row>
    <row r="106" spans="1:13" ht="16.5" customHeight="1" x14ac:dyDescent="0.25">
      <c r="A106" s="1677" t="s">
        <v>97</v>
      </c>
      <c r="B106" s="1677"/>
      <c r="C106" s="1677"/>
      <c r="D106" s="49"/>
      <c r="E106" s="49"/>
      <c r="F106" s="49"/>
      <c r="G106" s="49"/>
      <c r="H106" s="49"/>
      <c r="I106" s="49"/>
      <c r="J106" s="49"/>
      <c r="K106" s="49"/>
      <c r="L106" s="49"/>
    </row>
    <row r="107" spans="1:13" x14ac:dyDescent="0.25">
      <c r="A107" s="48"/>
      <c r="B107" s="49"/>
      <c r="C107" s="49"/>
      <c r="D107" s="49"/>
      <c r="E107" s="48"/>
      <c r="F107" s="48"/>
      <c r="G107" s="48"/>
      <c r="H107" s="48"/>
      <c r="I107" s="48"/>
      <c r="J107" s="48"/>
      <c r="K107" s="48"/>
      <c r="L107" s="48"/>
    </row>
    <row r="108" spans="1:13" ht="21" customHeight="1" x14ac:dyDescent="0.25">
      <c r="A108" s="48"/>
      <c r="B108" s="1627" t="s">
        <v>98</v>
      </c>
      <c r="C108" s="1628"/>
      <c r="D108" s="1628"/>
      <c r="E108" s="1628"/>
      <c r="F108" s="1628"/>
      <c r="G108" s="769" t="s">
        <v>1297</v>
      </c>
      <c r="H108" s="1629" t="s">
        <v>1298</v>
      </c>
      <c r="I108" s="1630"/>
      <c r="J108" s="48"/>
      <c r="K108" s="48"/>
      <c r="L108" s="48"/>
    </row>
    <row r="109" spans="1:13" ht="24" customHeight="1" x14ac:dyDescent="0.25">
      <c r="A109" s="48"/>
      <c r="B109" s="1644" t="str">
        <f>Submittals!H31</f>
        <v>Select the Submission Stage in Project Information</v>
      </c>
      <c r="C109" s="1645"/>
      <c r="D109" s="1645"/>
      <c r="E109" s="1645"/>
      <c r="F109" s="1646"/>
      <c r="G109" s="780" t="s">
        <v>62</v>
      </c>
      <c r="H109" s="1625"/>
      <c r="I109" s="1626"/>
      <c r="J109" s="48"/>
      <c r="K109" s="48"/>
      <c r="L109" s="48"/>
      <c r="M109" s="37" t="str">
        <f>IF(OR(B109="/",B109="No evidence required at this submission stage"),"Yes",IF(G109="Submitted","Yes","No"))</f>
        <v>No</v>
      </c>
    </row>
    <row r="110" spans="1:13" ht="30" customHeight="1" x14ac:dyDescent="0.25">
      <c r="A110" s="48"/>
      <c r="B110" s="1644" t="str">
        <f>Submittals!H32</f>
        <v>Select the Submission Stage in Project Information</v>
      </c>
      <c r="C110" s="1645"/>
      <c r="D110" s="1645"/>
      <c r="E110" s="1645"/>
      <c r="F110" s="1646"/>
      <c r="G110" s="1273" t="s">
        <v>62</v>
      </c>
      <c r="H110" s="1625"/>
      <c r="I110" s="1626"/>
      <c r="J110" s="48"/>
      <c r="K110" s="48"/>
      <c r="L110" s="48"/>
      <c r="M110" s="37" t="str">
        <f>IF(OR(B110="/",B110="No evidence required at this submission stage"),"Yes",IF(G110="Submitted","Yes","No"))</f>
        <v>No</v>
      </c>
    </row>
    <row r="111" spans="1:13" ht="30" customHeight="1" x14ac:dyDescent="0.25">
      <c r="A111" s="48"/>
      <c r="B111" s="1644" t="str">
        <f>Submittals!H33</f>
        <v>Select the Submission Stage in Project Information</v>
      </c>
      <c r="C111" s="1645"/>
      <c r="D111" s="1645"/>
      <c r="E111" s="1645"/>
      <c r="F111" s="1646"/>
      <c r="G111" s="1273" t="s">
        <v>62</v>
      </c>
      <c r="H111" s="1625"/>
      <c r="I111" s="1626"/>
      <c r="J111" s="48"/>
      <c r="K111" s="48"/>
      <c r="L111" s="48"/>
      <c r="M111" s="37" t="str">
        <f>IF(OR(B111="/",B111="No evidence required at this submission stage"),"Yes",IF(G111="Submitted","Yes","No"))</f>
        <v>No</v>
      </c>
    </row>
    <row r="112" spans="1:13" ht="21.75" customHeight="1" x14ac:dyDescent="0.25">
      <c r="A112" s="48"/>
      <c r="B112" s="48"/>
      <c r="C112" s="48"/>
      <c r="D112" s="48"/>
      <c r="E112" s="48"/>
      <c r="F112" s="48"/>
      <c r="G112" s="48"/>
      <c r="H112" s="48"/>
      <c r="I112" s="48"/>
      <c r="J112" s="48"/>
      <c r="K112" s="48"/>
      <c r="L112" s="48"/>
    </row>
    <row r="113" spans="1:12" ht="16.5" customHeight="1" x14ac:dyDescent="0.25">
      <c r="A113" s="1677" t="s">
        <v>8</v>
      </c>
      <c r="B113" s="1677"/>
      <c r="C113" s="1677"/>
      <c r="D113" s="48"/>
      <c r="E113" s="48"/>
      <c r="F113" s="48"/>
      <c r="G113" s="48"/>
      <c r="H113" s="48"/>
      <c r="I113" s="48"/>
      <c r="J113" s="48"/>
      <c r="K113" s="48"/>
      <c r="L113" s="48"/>
    </row>
    <row r="114" spans="1:12" ht="17.25" customHeight="1" x14ac:dyDescent="0.25">
      <c r="A114" s="49"/>
      <c r="B114" s="49"/>
      <c r="C114" s="49"/>
      <c r="D114" s="49"/>
      <c r="E114" s="49"/>
      <c r="F114" s="48"/>
      <c r="G114" s="48"/>
      <c r="H114" s="48"/>
      <c r="I114" s="48"/>
      <c r="J114" s="48"/>
      <c r="K114" s="48"/>
      <c r="L114" s="48"/>
    </row>
    <row r="115" spans="1:12" ht="18" customHeight="1" x14ac:dyDescent="0.25">
      <c r="A115" s="49"/>
      <c r="B115" s="110" t="s">
        <v>19</v>
      </c>
      <c r="C115" s="8">
        <f>IF(E104=0,0,IF(E104&gt;=0.5,1,0))</f>
        <v>0</v>
      </c>
      <c r="D115" s="49"/>
      <c r="E115" s="49"/>
      <c r="F115" s="48"/>
      <c r="G115" s="48"/>
      <c r="H115" s="48"/>
      <c r="I115" s="48"/>
      <c r="J115" s="48"/>
      <c r="K115" s="48"/>
      <c r="L115" s="48"/>
    </row>
    <row r="116" spans="1:12" ht="18" customHeight="1" x14ac:dyDescent="0.25">
      <c r="A116" s="49"/>
      <c r="B116" s="110" t="s">
        <v>151</v>
      </c>
      <c r="C116" s="7" t="str">
        <f>IF(AND(COUNTIF(M109:M111,"Yes")=3,C115&gt;0),"Yes","No")</f>
        <v>No</v>
      </c>
      <c r="D116" s="49"/>
      <c r="E116" s="49"/>
      <c r="F116" s="48"/>
      <c r="G116" s="48"/>
      <c r="H116" s="48"/>
      <c r="I116" s="48"/>
      <c r="J116" s="48"/>
      <c r="K116" s="48"/>
      <c r="L116" s="48"/>
    </row>
    <row r="117" spans="1:12" ht="21" customHeight="1" x14ac:dyDescent="0.25">
      <c r="A117" s="49"/>
      <c r="B117" s="49"/>
      <c r="C117" s="49"/>
      <c r="D117" s="49"/>
      <c r="E117" s="49"/>
      <c r="F117" s="48"/>
      <c r="G117" s="48"/>
      <c r="H117" s="48"/>
      <c r="I117" s="48"/>
      <c r="J117" s="48"/>
      <c r="K117" s="48"/>
      <c r="L117" s="48"/>
    </row>
    <row r="118" spans="1:12" hidden="1" x14ac:dyDescent="0.25"/>
    <row r="119" spans="1:12" hidden="1" x14ac:dyDescent="0.25"/>
    <row r="120" spans="1:12" hidden="1" x14ac:dyDescent="0.25"/>
  </sheetData>
  <sheetProtection algorithmName="SHA-512" hashValue="VdE/fvTS9kqvg5DSfqcOv/xaYMYktRc0mC7+0Oh4c/gkfO8P0c8Qg95/3OINTltsERksd7YY+5AAZmbYooGC7Q==" saltValue="2ghiwThnDe0u9xoa022LlQ==" spinCount="100000" sheet="1" objects="1" scenarios="1"/>
  <mergeCells count="88">
    <mergeCell ref="B110:F110"/>
    <mergeCell ref="H110:I110"/>
    <mergeCell ref="J58:K58"/>
    <mergeCell ref="J59:K59"/>
    <mergeCell ref="H2:K4"/>
    <mergeCell ref="H59:I59"/>
    <mergeCell ref="B61:E61"/>
    <mergeCell ref="H39:I39"/>
    <mergeCell ref="H40:I40"/>
    <mergeCell ref="J39:K39"/>
    <mergeCell ref="J40:K40"/>
    <mergeCell ref="J41:K41"/>
    <mergeCell ref="J42:K42"/>
    <mergeCell ref="J43:K43"/>
    <mergeCell ref="J44:K44"/>
    <mergeCell ref="J45:K45"/>
    <mergeCell ref="J46:K46"/>
    <mergeCell ref="J47:K47"/>
    <mergeCell ref="J54:K54"/>
    <mergeCell ref="H55:I55"/>
    <mergeCell ref="H56:I56"/>
    <mergeCell ref="H57:I57"/>
    <mergeCell ref="J55:K55"/>
    <mergeCell ref="J56:K56"/>
    <mergeCell ref="J57:K57"/>
    <mergeCell ref="B108:F108"/>
    <mergeCell ref="H108:I108"/>
    <mergeCell ref="H109:I109"/>
    <mergeCell ref="A69:C69"/>
    <mergeCell ref="A76:C76"/>
    <mergeCell ref="A106:C106"/>
    <mergeCell ref="A89:C89"/>
    <mergeCell ref="B85:G85"/>
    <mergeCell ref="B22:J22"/>
    <mergeCell ref="B23:J23"/>
    <mergeCell ref="H65:I65"/>
    <mergeCell ref="H66:I66"/>
    <mergeCell ref="H67:I67"/>
    <mergeCell ref="H58:I58"/>
    <mergeCell ref="H41:I41"/>
    <mergeCell ref="H42:I42"/>
    <mergeCell ref="H46:I46"/>
    <mergeCell ref="H47:I47"/>
    <mergeCell ref="H48:I48"/>
    <mergeCell ref="J48:K48"/>
    <mergeCell ref="H43:I43"/>
    <mergeCell ref="H54:I54"/>
    <mergeCell ref="J52:K52"/>
    <mergeCell ref="J53:K53"/>
    <mergeCell ref="A113:C113"/>
    <mergeCell ref="B66:F66"/>
    <mergeCell ref="B67:F67"/>
    <mergeCell ref="B109:F109"/>
    <mergeCell ref="B111:F111"/>
    <mergeCell ref="B102:F102"/>
    <mergeCell ref="B100:E100"/>
    <mergeCell ref="B104:D104"/>
    <mergeCell ref="B95:E95"/>
    <mergeCell ref="B96:E96"/>
    <mergeCell ref="B97:E97"/>
    <mergeCell ref="B93:C93"/>
    <mergeCell ref="B84:G84"/>
    <mergeCell ref="B80:J80"/>
    <mergeCell ref="H111:I111"/>
    <mergeCell ref="B83:H83"/>
    <mergeCell ref="A1:L1"/>
    <mergeCell ref="B14:E14"/>
    <mergeCell ref="B11:E11"/>
    <mergeCell ref="B13:E13"/>
    <mergeCell ref="A9:L9"/>
    <mergeCell ref="A5:L7"/>
    <mergeCell ref="B12:E12"/>
    <mergeCell ref="A16:L16"/>
    <mergeCell ref="A18:C18"/>
    <mergeCell ref="A35:C35"/>
    <mergeCell ref="A74:L74"/>
    <mergeCell ref="B65:F65"/>
    <mergeCell ref="A63:C63"/>
    <mergeCell ref="H44:I44"/>
    <mergeCell ref="H45:I45"/>
    <mergeCell ref="H49:I49"/>
    <mergeCell ref="H50:I50"/>
    <mergeCell ref="H51:I51"/>
    <mergeCell ref="J49:K49"/>
    <mergeCell ref="J50:K50"/>
    <mergeCell ref="J51:K51"/>
    <mergeCell ref="H52:I52"/>
    <mergeCell ref="H53:I53"/>
  </mergeCells>
  <conditionalFormatting sqref="F12:H12">
    <cfRule type="expression" dxfId="592" priority="24">
      <formula>OR(#REF!="No",#REF!="Không")</formula>
    </cfRule>
  </conditionalFormatting>
  <conditionalFormatting sqref="F12:H12">
    <cfRule type="expression" dxfId="591" priority="25">
      <formula>OR($D12="No",$D12="Không")</formula>
    </cfRule>
    <cfRule type="expression" dxfId="590" priority="26">
      <formula>OR(#REF!="No",#REF!="Không")</formula>
    </cfRule>
  </conditionalFormatting>
  <conditionalFormatting sqref="G12">
    <cfRule type="expression" dxfId="589" priority="21">
      <formula>OR(#REF!="No",#REF!="Không")</formula>
    </cfRule>
  </conditionalFormatting>
  <conditionalFormatting sqref="G12">
    <cfRule type="expression" dxfId="588" priority="19">
      <formula>OR($D12="No",$D12="Không")</formula>
    </cfRule>
    <cfRule type="expression" dxfId="587" priority="20">
      <formula>OR(#REF!="No",#REF!="Không")</formula>
    </cfRule>
  </conditionalFormatting>
  <conditionalFormatting sqref="H12">
    <cfRule type="expression" dxfId="586" priority="18">
      <formula>OR(#REF!="No",#REF!="Không")</formula>
    </cfRule>
  </conditionalFormatting>
  <conditionalFormatting sqref="H12">
    <cfRule type="expression" dxfId="585" priority="16">
      <formula>OR($D12="No",$D12="Không")</formula>
    </cfRule>
    <cfRule type="expression" dxfId="584" priority="17">
      <formula>OR(#REF!="No",#REF!="Không")</formula>
    </cfRule>
  </conditionalFormatting>
  <conditionalFormatting sqref="B12">
    <cfRule type="expression" dxfId="583" priority="32">
      <formula>$D$98="Option B"</formula>
    </cfRule>
  </conditionalFormatting>
  <conditionalFormatting sqref="B12">
    <cfRule type="expression" dxfId="582" priority="33">
      <formula>$D$98="No"</formula>
    </cfRule>
  </conditionalFormatting>
  <conditionalFormatting sqref="F13:H13">
    <cfRule type="expression" dxfId="581" priority="11">
      <formula>OR(#REF!="No",#REF!="Không")</formula>
    </cfRule>
  </conditionalFormatting>
  <conditionalFormatting sqref="F13:H13">
    <cfRule type="expression" dxfId="580" priority="12">
      <formula>OR($D13="No",$D13="Không")</formula>
    </cfRule>
    <cfRule type="expression" dxfId="579" priority="13">
      <formula>OR(#REF!="No",#REF!="Không")</formula>
    </cfRule>
  </conditionalFormatting>
  <conditionalFormatting sqref="G13">
    <cfRule type="expression" dxfId="578" priority="10">
      <formula>OR(#REF!="No",#REF!="Không")</formula>
    </cfRule>
  </conditionalFormatting>
  <conditionalFormatting sqref="G13">
    <cfRule type="expression" dxfId="577" priority="8">
      <formula>OR($D13="No",$D13="Không")</formula>
    </cfRule>
    <cfRule type="expression" dxfId="576" priority="9">
      <formula>OR(#REF!="No",#REF!="Không")</formula>
    </cfRule>
  </conditionalFormatting>
  <conditionalFormatting sqref="H13">
    <cfRule type="expression" dxfId="575" priority="7">
      <formula>OR(#REF!="No",#REF!="Không")</formula>
    </cfRule>
  </conditionalFormatting>
  <conditionalFormatting sqref="H13">
    <cfRule type="expression" dxfId="574" priority="5">
      <formula>OR($D13="No",$D13="Không")</formula>
    </cfRule>
    <cfRule type="expression" dxfId="573" priority="6">
      <formula>OR(#REF!="No",#REF!="Không")</formula>
    </cfRule>
  </conditionalFormatting>
  <conditionalFormatting sqref="B13">
    <cfRule type="expression" dxfId="572" priority="14">
      <formula>$D$98="Option B"</formula>
    </cfRule>
  </conditionalFormatting>
  <conditionalFormatting sqref="B13">
    <cfRule type="expression" dxfId="571" priority="15">
      <formula>$D$98="No"</formula>
    </cfRule>
  </conditionalFormatting>
  <conditionalFormatting sqref="G109">
    <cfRule type="expression" dxfId="570" priority="4">
      <formula>$B109="No evidence required at this submission stage"</formula>
    </cfRule>
  </conditionalFormatting>
  <conditionalFormatting sqref="G66:G67">
    <cfRule type="expression" dxfId="569" priority="3">
      <formula>$B66="No evidence required at this submission stage"</formula>
    </cfRule>
  </conditionalFormatting>
  <conditionalFormatting sqref="G110">
    <cfRule type="expression" dxfId="568" priority="2">
      <formula>$B110="No evidence required at this submission stage"</formula>
    </cfRule>
  </conditionalFormatting>
  <conditionalFormatting sqref="G111">
    <cfRule type="expression" dxfId="567" priority="1">
      <formula>$B111="No evidence required at this submission stage"</formula>
    </cfRule>
  </conditionalFormatting>
  <dataValidations count="4">
    <dataValidation type="list" allowBlank="1" showInputMessage="1" showErrorMessage="1" sqref="G40:G59">
      <formula1>"Select,Yes,No"</formula1>
    </dataValidation>
    <dataValidation allowBlank="1" showInputMessage="1" showErrorMessage="1" prompt="Provide details on the performance of the appliance/equipment as regards to energy efficiency labels." sqref="H40:I59"/>
    <dataValidation type="list" allowBlank="1" showInputMessage="1" showErrorMessage="1" sqref="G66:G67 G109:G111">
      <formula1>"Select,Submitted,Not submitted"</formula1>
    </dataValidation>
    <dataValidation type="list" allowBlank="1" showInputMessage="1" showErrorMessage="1" sqref="B40:B59">
      <formula1>"Select,washing machines,refrigerator and freezers,dishwashers,fans,televisions,computers,displays,rice cookers,others"</formula1>
    </dataValidation>
  </dataValidations>
  <hyperlinks>
    <hyperlink ref="L2" location="'E-1 Space cooling'!B3" tooltip="E-1" display="E-1"/>
    <hyperlink ref="L3" location="'E-2 Artificial Lighting'!B3" tooltip="E-2" display="E-2"/>
    <hyperlink ref="L4" location="'E-4 Energy Monitoring'!B3" tooltip="E-4" display="E-4"/>
  </hyperlink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58AB27"/>
  </sheetPr>
  <dimension ref="A1:N183"/>
  <sheetViews>
    <sheetView showRowColHeaders="0" workbookViewId="0">
      <pane ySplit="8" topLeftCell="A9" activePane="bottomLeft" state="frozen"/>
      <selection activeCell="B12" sqref="B12:O12"/>
      <selection pane="bottomLeft" activeCell="A9" sqref="A9:K9"/>
    </sheetView>
  </sheetViews>
  <sheetFormatPr defaultColWidth="0" defaultRowHeight="15" zeroHeight="1" x14ac:dyDescent="0.25"/>
  <cols>
    <col min="1" max="1" width="4.140625" style="37" customWidth="1"/>
    <col min="2" max="4" width="20.7109375" style="37" customWidth="1"/>
    <col min="5" max="5" width="26.140625" style="37" customWidth="1"/>
    <col min="6" max="6" width="20.7109375" style="37" customWidth="1"/>
    <col min="7" max="8" width="17.5703125" style="37" customWidth="1"/>
    <col min="9" max="9" width="13.5703125" style="37" customWidth="1"/>
    <col min="10" max="11" width="10.5703125" style="37" customWidth="1"/>
    <col min="12" max="12" width="15.7109375" style="37" hidden="1" customWidth="1"/>
    <col min="13" max="16384" width="9.140625" style="37" hidden="1"/>
  </cols>
  <sheetData>
    <row r="1" spans="1:14" ht="25.5" customHeight="1" x14ac:dyDescent="0.25">
      <c r="A1" s="1617" t="s">
        <v>304</v>
      </c>
      <c r="B1" s="1617"/>
      <c r="C1" s="1617"/>
      <c r="D1" s="1617"/>
      <c r="E1" s="1617"/>
      <c r="F1" s="1617"/>
      <c r="G1" s="1617"/>
      <c r="H1" s="1617"/>
      <c r="I1" s="1617"/>
      <c r="J1" s="1617"/>
      <c r="K1" s="1617"/>
    </row>
    <row r="2" spans="1:14" ht="15" customHeight="1" x14ac:dyDescent="0.25">
      <c r="A2" s="49"/>
      <c r="B2" s="49"/>
      <c r="C2" s="49"/>
      <c r="D2" s="49"/>
      <c r="E2" s="49"/>
      <c r="F2" s="48"/>
      <c r="G2" s="48"/>
      <c r="H2" s="1694" t="s">
        <v>161</v>
      </c>
      <c r="I2" s="1694"/>
      <c r="J2" s="1694"/>
      <c r="K2" s="131" t="s">
        <v>22</v>
      </c>
    </row>
    <row r="3" spans="1:14" ht="15" customHeight="1" x14ac:dyDescent="0.25">
      <c r="A3" s="49"/>
      <c r="B3" s="49"/>
      <c r="C3" s="49"/>
      <c r="D3" s="49"/>
      <c r="E3" s="49"/>
      <c r="F3" s="48"/>
      <c r="G3" s="48"/>
      <c r="H3" s="1694"/>
      <c r="I3" s="1694"/>
      <c r="J3" s="1694"/>
      <c r="K3" s="131" t="s">
        <v>24</v>
      </c>
    </row>
    <row r="4" spans="1:14" ht="15" customHeight="1" x14ac:dyDescent="0.25">
      <c r="A4" s="49"/>
      <c r="B4" s="49"/>
      <c r="C4" s="49"/>
      <c r="D4" s="49"/>
      <c r="E4" s="49"/>
      <c r="F4" s="48"/>
      <c r="G4" s="48"/>
      <c r="H4" s="1695"/>
      <c r="I4" s="1695"/>
      <c r="J4" s="1695"/>
      <c r="K4" s="131" t="s">
        <v>25</v>
      </c>
    </row>
    <row r="5" spans="1:14" ht="21" customHeight="1" x14ac:dyDescent="0.25">
      <c r="A5" s="1704" t="s">
        <v>2566</v>
      </c>
      <c r="B5" s="1705"/>
      <c r="C5" s="1705"/>
      <c r="D5" s="1705"/>
      <c r="E5" s="1705"/>
      <c r="F5" s="1705"/>
      <c r="G5" s="1705"/>
      <c r="H5" s="1705"/>
      <c r="I5" s="1705"/>
      <c r="J5" s="1705"/>
      <c r="K5" s="1706"/>
    </row>
    <row r="6" spans="1:14" ht="21" customHeight="1" x14ac:dyDescent="0.25">
      <c r="A6" s="1707"/>
      <c r="B6" s="1708"/>
      <c r="C6" s="1708"/>
      <c r="D6" s="1708"/>
      <c r="E6" s="1708"/>
      <c r="F6" s="1708"/>
      <c r="G6" s="1708"/>
      <c r="H6" s="1708"/>
      <c r="I6" s="1708"/>
      <c r="J6" s="1708"/>
      <c r="K6" s="1709"/>
    </row>
    <row r="7" spans="1:14" ht="21" customHeight="1" x14ac:dyDescent="0.25">
      <c r="A7" s="1710"/>
      <c r="B7" s="1711"/>
      <c r="C7" s="1711"/>
      <c r="D7" s="1711"/>
      <c r="E7" s="1711"/>
      <c r="F7" s="1711"/>
      <c r="G7" s="1711"/>
      <c r="H7" s="1711"/>
      <c r="I7" s="1711"/>
      <c r="J7" s="1711"/>
      <c r="K7" s="1712"/>
    </row>
    <row r="8" spans="1:14" ht="12" customHeight="1" x14ac:dyDescent="0.25">
      <c r="A8" s="48"/>
      <c r="B8" s="49"/>
      <c r="C8" s="49"/>
      <c r="D8" s="49"/>
      <c r="E8" s="49"/>
      <c r="F8" s="48"/>
      <c r="G8" s="48"/>
      <c r="H8" s="48"/>
      <c r="I8" s="48"/>
      <c r="J8" s="48"/>
      <c r="K8" s="48"/>
      <c r="L8" s="48"/>
    </row>
    <row r="9" spans="1:14" ht="18" customHeight="1" x14ac:dyDescent="0.25">
      <c r="A9" s="1676" t="s">
        <v>95</v>
      </c>
      <c r="B9" s="1676"/>
      <c r="C9" s="1676"/>
      <c r="D9" s="1676"/>
      <c r="E9" s="1676"/>
      <c r="F9" s="1676"/>
      <c r="G9" s="1676"/>
      <c r="H9" s="1676"/>
      <c r="I9" s="1676"/>
      <c r="J9" s="1676"/>
      <c r="K9" s="1676"/>
    </row>
    <row r="10" spans="1:14" ht="14.25" customHeight="1" x14ac:dyDescent="0.25">
      <c r="A10" s="48"/>
      <c r="B10" s="49"/>
      <c r="C10" s="49"/>
      <c r="D10" s="49"/>
      <c r="E10" s="49"/>
      <c r="F10" s="49"/>
      <c r="G10" s="49"/>
      <c r="H10" s="49"/>
      <c r="I10" s="49"/>
      <c r="J10" s="49"/>
      <c r="K10" s="49"/>
      <c r="L10" s="48"/>
      <c r="M10" s="48"/>
      <c r="N10" s="48"/>
    </row>
    <row r="11" spans="1:14" ht="16.5" customHeight="1" x14ac:dyDescent="0.25">
      <c r="A11" s="48"/>
      <c r="B11" s="1806" t="s">
        <v>114</v>
      </c>
      <c r="C11" s="1807"/>
      <c r="D11" s="1218" t="s">
        <v>62</v>
      </c>
      <c r="E11" s="49"/>
      <c r="F11" s="49"/>
      <c r="G11" s="49"/>
      <c r="H11" s="49"/>
      <c r="I11" s="49"/>
      <c r="J11" s="49"/>
      <c r="K11" s="49"/>
      <c r="L11" s="48"/>
      <c r="M11" s="48"/>
      <c r="N11" s="48"/>
    </row>
    <row r="12" spans="1:14" x14ac:dyDescent="0.25">
      <c r="A12" s="48"/>
      <c r="B12" s="49"/>
      <c r="C12" s="49"/>
      <c r="D12" s="49"/>
      <c r="E12" s="49"/>
      <c r="F12" s="48"/>
      <c r="G12" s="48"/>
      <c r="H12" s="48"/>
      <c r="I12" s="48"/>
      <c r="J12" s="48"/>
      <c r="K12" s="48"/>
    </row>
    <row r="13" spans="1:14" ht="21" customHeight="1" x14ac:dyDescent="0.25">
      <c r="A13" s="48"/>
      <c r="B13" s="1696" t="s">
        <v>96</v>
      </c>
      <c r="C13" s="1697"/>
      <c r="D13" s="1697"/>
      <c r="E13" s="1697"/>
      <c r="F13" s="282" t="s">
        <v>75</v>
      </c>
      <c r="G13" s="282" t="s">
        <v>19</v>
      </c>
      <c r="H13" s="74" t="s">
        <v>151</v>
      </c>
      <c r="I13" s="48"/>
      <c r="J13" s="48"/>
      <c r="K13" s="48"/>
    </row>
    <row r="14" spans="1:14" ht="50.25" customHeight="1" x14ac:dyDescent="0.25">
      <c r="A14" s="48"/>
      <c r="B14" s="1780" t="s">
        <v>2331</v>
      </c>
      <c r="C14" s="1781"/>
      <c r="D14" s="1781"/>
      <c r="E14" s="1782"/>
      <c r="F14" s="53">
        <v>2</v>
      </c>
      <c r="G14" s="53" t="str">
        <f>IF(D11="Option A",C73,"/")</f>
        <v>/</v>
      </c>
      <c r="H14" s="53" t="str">
        <f>IF(D11="Option A",C74,"/")</f>
        <v>/</v>
      </c>
      <c r="I14" s="48"/>
      <c r="J14" s="48"/>
      <c r="K14" s="48"/>
      <c r="L14" s="37">
        <f>IF(G14="/",0,G14)</f>
        <v>0</v>
      </c>
    </row>
    <row r="15" spans="1:14" ht="31.5" customHeight="1" x14ac:dyDescent="0.25">
      <c r="A15" s="48"/>
      <c r="B15" s="1780" t="s">
        <v>2565</v>
      </c>
      <c r="C15" s="1781"/>
      <c r="D15" s="1781"/>
      <c r="E15" s="1782"/>
      <c r="F15" s="320">
        <v>1</v>
      </c>
      <c r="G15" s="320" t="str">
        <f>IF(D11="Option B",C104,"/")</f>
        <v>/</v>
      </c>
      <c r="H15" s="320" t="str">
        <f>IF(D11="Option B",C105,"/")</f>
        <v>/</v>
      </c>
      <c r="I15" s="48"/>
      <c r="J15" s="48"/>
      <c r="K15" s="48"/>
      <c r="L15" s="37">
        <f>IF(G15="/",0,G15)</f>
        <v>0</v>
      </c>
    </row>
    <row r="16" spans="1:14" ht="18" customHeight="1" x14ac:dyDescent="0.25">
      <c r="A16" s="49"/>
      <c r="B16" s="49"/>
      <c r="C16" s="49"/>
      <c r="D16" s="49"/>
      <c r="E16" s="49"/>
      <c r="F16" s="48"/>
      <c r="G16" s="48"/>
      <c r="H16" s="48"/>
      <c r="I16" s="48"/>
      <c r="J16" s="48"/>
      <c r="K16" s="48"/>
      <c r="L16" s="37">
        <f>MIN(2,L14+L15)</f>
        <v>0</v>
      </c>
    </row>
    <row r="17" spans="1:14" ht="18" customHeight="1" x14ac:dyDescent="0.25">
      <c r="A17" s="1676" t="s">
        <v>2567</v>
      </c>
      <c r="B17" s="1676"/>
      <c r="C17" s="1676"/>
      <c r="D17" s="1676"/>
      <c r="E17" s="1676"/>
      <c r="F17" s="1676"/>
      <c r="G17" s="1676"/>
      <c r="H17" s="1676"/>
      <c r="I17" s="1676"/>
      <c r="J17" s="1676"/>
      <c r="K17" s="1676"/>
    </row>
    <row r="18" spans="1:14" ht="15" customHeight="1" x14ac:dyDescent="0.25">
      <c r="A18" s="127"/>
      <c r="B18" s="127"/>
      <c r="C18" s="127"/>
      <c r="D18" s="127"/>
      <c r="E18" s="127"/>
      <c r="F18" s="123"/>
      <c r="G18" s="123"/>
      <c r="H18" s="123"/>
      <c r="I18" s="123"/>
      <c r="J18" s="123"/>
      <c r="K18" s="123"/>
    </row>
    <row r="19" spans="1:14" ht="16.5" customHeight="1" x14ac:dyDescent="0.25">
      <c r="A19" s="1677" t="s">
        <v>117</v>
      </c>
      <c r="B19" s="1677"/>
      <c r="C19" s="1677"/>
      <c r="D19" s="127"/>
      <c r="E19" s="127"/>
      <c r="F19" s="127"/>
      <c r="G19" s="127"/>
      <c r="H19" s="127"/>
      <c r="I19" s="127"/>
      <c r="J19" s="127"/>
      <c r="K19" s="127"/>
    </row>
    <row r="20" spans="1:14" x14ac:dyDescent="0.25">
      <c r="A20" s="127"/>
      <c r="B20" s="127"/>
      <c r="C20" s="127"/>
      <c r="D20" s="127"/>
      <c r="E20" s="127"/>
      <c r="F20" s="127"/>
      <c r="G20" s="127"/>
      <c r="H20" s="127"/>
      <c r="I20" s="127"/>
      <c r="J20" s="127"/>
      <c r="K20" s="127"/>
    </row>
    <row r="21" spans="1:14" ht="16.5" customHeight="1" x14ac:dyDescent="0.25">
      <c r="A21" s="127"/>
      <c r="B21" s="1211" t="s">
        <v>1313</v>
      </c>
      <c r="C21" s="127"/>
      <c r="D21" s="127"/>
      <c r="E21" s="127"/>
      <c r="F21" s="127"/>
      <c r="G21" s="127"/>
      <c r="H21" s="127"/>
      <c r="I21" s="127"/>
      <c r="J21" s="127"/>
      <c r="K21" s="127"/>
    </row>
    <row r="22" spans="1:14" ht="12" customHeight="1" x14ac:dyDescent="0.25">
      <c r="A22" s="127"/>
      <c r="B22" s="127"/>
      <c r="C22" s="127"/>
      <c r="D22" s="127"/>
      <c r="E22" s="127"/>
      <c r="F22" s="127"/>
      <c r="G22" s="127"/>
      <c r="H22" s="127"/>
      <c r="I22" s="127"/>
      <c r="J22" s="127"/>
      <c r="K22" s="127"/>
    </row>
    <row r="23" spans="1:14" ht="16.5" customHeight="1" x14ac:dyDescent="0.25">
      <c r="A23" s="127"/>
      <c r="B23" s="559" t="s">
        <v>998</v>
      </c>
      <c r="C23" s="511"/>
      <c r="D23" s="511"/>
      <c r="E23" s="511"/>
      <c r="F23" s="511"/>
      <c r="G23" s="511"/>
      <c r="H23" s="511"/>
      <c r="I23" s="512"/>
      <c r="J23" s="127"/>
      <c r="K23" s="127"/>
    </row>
    <row r="24" spans="1:14" ht="16.5" customHeight="1" x14ac:dyDescent="0.25">
      <c r="A24" s="127"/>
      <c r="B24" s="560" t="s">
        <v>436</v>
      </c>
      <c r="C24" s="513"/>
      <c r="D24" s="513"/>
      <c r="E24" s="513"/>
      <c r="F24" s="513"/>
      <c r="G24" s="513"/>
      <c r="H24" s="513"/>
      <c r="I24" s="514"/>
      <c r="J24" s="127"/>
      <c r="K24" s="127"/>
    </row>
    <row r="25" spans="1:14" ht="16.5" customHeight="1" x14ac:dyDescent="0.25">
      <c r="A25" s="127"/>
      <c r="B25" s="560" t="s">
        <v>437</v>
      </c>
      <c r="C25" s="513"/>
      <c r="D25" s="513"/>
      <c r="E25" s="513"/>
      <c r="F25" s="513"/>
      <c r="G25" s="513"/>
      <c r="H25" s="513"/>
      <c r="I25" s="514"/>
      <c r="J25" s="127"/>
      <c r="K25" s="127"/>
    </row>
    <row r="26" spans="1:14" ht="16.5" customHeight="1" x14ac:dyDescent="0.25">
      <c r="A26" s="127"/>
      <c r="B26" s="560" t="s">
        <v>999</v>
      </c>
      <c r="C26" s="513"/>
      <c r="D26" s="513"/>
      <c r="E26" s="513"/>
      <c r="F26" s="513"/>
      <c r="G26" s="513"/>
      <c r="H26" s="513"/>
      <c r="I26" s="514"/>
      <c r="J26" s="127"/>
      <c r="K26" s="127"/>
    </row>
    <row r="27" spans="1:14" ht="16.5" customHeight="1" x14ac:dyDescent="0.25">
      <c r="A27" s="127"/>
      <c r="B27" s="613" t="s">
        <v>438</v>
      </c>
      <c r="C27" s="515"/>
      <c r="D27" s="515"/>
      <c r="E27" s="515"/>
      <c r="F27" s="515"/>
      <c r="G27" s="515"/>
      <c r="H27" s="515"/>
      <c r="I27" s="516"/>
      <c r="J27" s="127"/>
      <c r="K27" s="127"/>
    </row>
    <row r="28" spans="1:14" ht="16.5" customHeight="1" x14ac:dyDescent="0.25">
      <c r="A28" s="127"/>
      <c r="B28" s="127"/>
      <c r="C28" s="127"/>
      <c r="D28" s="127"/>
      <c r="E28" s="127"/>
      <c r="F28" s="127"/>
      <c r="G28" s="127"/>
      <c r="H28" s="127"/>
      <c r="I28" s="127"/>
      <c r="J28" s="127"/>
      <c r="K28" s="127"/>
    </row>
    <row r="29" spans="1:14" ht="16.5" customHeight="1" x14ac:dyDescent="0.25">
      <c r="A29" s="127"/>
      <c r="B29" s="718" t="s">
        <v>1231</v>
      </c>
      <c r="C29" s="127"/>
      <c r="D29" s="127"/>
      <c r="E29" s="127"/>
      <c r="F29" s="127"/>
      <c r="G29" s="127"/>
      <c r="H29" s="127"/>
      <c r="I29" s="127"/>
      <c r="J29" s="127"/>
      <c r="K29" s="127"/>
    </row>
    <row r="30" spans="1:14" ht="9" customHeight="1" x14ac:dyDescent="0.25">
      <c r="A30" s="127"/>
      <c r="B30" s="1213"/>
      <c r="C30" s="127"/>
      <c r="D30" s="127"/>
      <c r="E30" s="127"/>
      <c r="F30" s="127"/>
      <c r="G30" s="127"/>
      <c r="H30" s="127"/>
      <c r="I30" s="127"/>
      <c r="J30" s="127"/>
      <c r="K30" s="127"/>
      <c r="L30" s="37" t="s">
        <v>443</v>
      </c>
    </row>
    <row r="31" spans="1:14" ht="17.25" customHeight="1" x14ac:dyDescent="0.25">
      <c r="A31" s="127"/>
      <c r="B31" s="1794" t="s">
        <v>1230</v>
      </c>
      <c r="C31" s="1795"/>
      <c r="D31" s="1795"/>
      <c r="E31" s="1795"/>
      <c r="F31" s="1795"/>
      <c r="G31" s="127"/>
      <c r="H31" s="127"/>
      <c r="I31" s="127"/>
      <c r="J31" s="127"/>
      <c r="K31" s="127"/>
    </row>
    <row r="32" spans="1:14" ht="18" customHeight="1" x14ac:dyDescent="0.25">
      <c r="A32" s="127"/>
      <c r="B32" s="1620" t="s">
        <v>1225</v>
      </c>
      <c r="C32" s="1620"/>
      <c r="D32" s="1620"/>
      <c r="E32" s="1620"/>
      <c r="F32" s="728" t="s">
        <v>62</v>
      </c>
      <c r="G32" s="127"/>
      <c r="H32" s="127"/>
      <c r="I32" s="127"/>
      <c r="J32" s="127"/>
      <c r="K32" s="127"/>
      <c r="L32" s="37" t="str">
        <f>IF(OR(F32="Yes",F32="N/A"),"Yes","No")</f>
        <v>No</v>
      </c>
      <c r="M32" s="57" t="str">
        <f>IF(F32="N/A","Yes","No")</f>
        <v>No</v>
      </c>
      <c r="N32" s="57"/>
    </row>
    <row r="33" spans="1:14" ht="18" customHeight="1" x14ac:dyDescent="0.25">
      <c r="A33" s="127"/>
      <c r="B33" s="1620" t="s">
        <v>1226</v>
      </c>
      <c r="C33" s="1620"/>
      <c r="D33" s="1620"/>
      <c r="E33" s="1620"/>
      <c r="F33" s="728" t="s">
        <v>62</v>
      </c>
      <c r="G33" s="127"/>
      <c r="H33" s="127"/>
      <c r="I33" s="127"/>
      <c r="J33" s="127"/>
      <c r="K33" s="127"/>
      <c r="L33" s="37" t="str">
        <f t="shared" ref="L33:L35" si="0">IF(OR(F33="Yes",F33="N/A"),"Yes","No")</f>
        <v>No</v>
      </c>
      <c r="M33" s="57" t="str">
        <f t="shared" ref="M33:M36" si="1">IF(F33="N/A","Yes","No")</f>
        <v>No</v>
      </c>
      <c r="N33" s="57"/>
    </row>
    <row r="34" spans="1:14" ht="18" customHeight="1" x14ac:dyDescent="0.25">
      <c r="A34" s="127"/>
      <c r="B34" s="1620" t="s">
        <v>1227</v>
      </c>
      <c r="C34" s="1620"/>
      <c r="D34" s="1620"/>
      <c r="E34" s="1620"/>
      <c r="F34" s="728" t="s">
        <v>62</v>
      </c>
      <c r="G34" s="127"/>
      <c r="H34" s="127"/>
      <c r="I34" s="127"/>
      <c r="J34" s="127"/>
      <c r="K34" s="127"/>
      <c r="L34" s="37" t="str">
        <f t="shared" si="0"/>
        <v>No</v>
      </c>
      <c r="M34" s="57" t="str">
        <f t="shared" si="1"/>
        <v>No</v>
      </c>
      <c r="N34" s="57"/>
    </row>
    <row r="35" spans="1:14" ht="18" customHeight="1" x14ac:dyDescent="0.25">
      <c r="A35" s="127"/>
      <c r="B35" s="1620" t="s">
        <v>1228</v>
      </c>
      <c r="C35" s="1620"/>
      <c r="D35" s="1620"/>
      <c r="E35" s="1620"/>
      <c r="F35" s="728" t="s">
        <v>62</v>
      </c>
      <c r="G35" s="127"/>
      <c r="H35" s="127"/>
      <c r="I35" s="127"/>
      <c r="J35" s="127"/>
      <c r="K35" s="127"/>
      <c r="L35" s="37" t="str">
        <f t="shared" si="0"/>
        <v>No</v>
      </c>
      <c r="M35" s="57" t="str">
        <f t="shared" si="1"/>
        <v>No</v>
      </c>
      <c r="N35" s="57"/>
    </row>
    <row r="36" spans="1:14" ht="18" customHeight="1" x14ac:dyDescent="0.25">
      <c r="A36" s="127"/>
      <c r="B36" s="1620" t="s">
        <v>1229</v>
      </c>
      <c r="C36" s="1620"/>
      <c r="D36" s="1620"/>
      <c r="E36" s="1620"/>
      <c r="F36" s="728" t="s">
        <v>62</v>
      </c>
      <c r="G36" s="1214" t="s">
        <v>756</v>
      </c>
      <c r="H36" s="1682"/>
      <c r="I36" s="1683"/>
      <c r="J36" s="1683"/>
      <c r="K36" s="127"/>
      <c r="L36" s="37" t="str">
        <f>IF(AND(H36&lt;&gt;"",OR(F36="Yes",F36="N/A")),"Yes","No")</f>
        <v>No</v>
      </c>
      <c r="M36" s="57" t="str">
        <f t="shared" si="1"/>
        <v>No</v>
      </c>
      <c r="N36" s="57"/>
    </row>
    <row r="37" spans="1:14" ht="20.25" customHeight="1" x14ac:dyDescent="0.25">
      <c r="A37" s="127"/>
      <c r="B37" s="127"/>
      <c r="C37" s="127"/>
      <c r="D37" s="127"/>
      <c r="E37" s="127"/>
      <c r="F37" s="127"/>
      <c r="G37" s="127"/>
      <c r="H37" s="127"/>
      <c r="I37" s="127"/>
      <c r="J37" s="127"/>
      <c r="K37" s="127"/>
    </row>
    <row r="38" spans="1:14" ht="18" customHeight="1" x14ac:dyDescent="0.25">
      <c r="A38" s="127"/>
      <c r="B38" s="1621" t="s">
        <v>439</v>
      </c>
      <c r="C38" s="1621"/>
      <c r="D38" s="125" t="str">
        <f>IF(COUNTIF(M32:M36,"Yes")=5,"No",IF(COUNTIF(L32:L36,"Yes")=5,"Yes","No"))</f>
        <v>No</v>
      </c>
      <c r="E38" s="127"/>
      <c r="F38" s="127"/>
      <c r="G38" s="127"/>
      <c r="H38" s="127"/>
      <c r="I38" s="127"/>
      <c r="J38" s="127"/>
      <c r="K38" s="127"/>
    </row>
    <row r="39" spans="1:14" ht="21.75" customHeight="1" x14ac:dyDescent="0.25">
      <c r="A39" s="127"/>
      <c r="B39" s="127"/>
      <c r="C39" s="127"/>
      <c r="D39" s="127"/>
      <c r="E39" s="127"/>
      <c r="F39" s="127"/>
      <c r="G39" s="127"/>
      <c r="H39" s="127"/>
      <c r="I39" s="127"/>
      <c r="J39" s="127"/>
      <c r="K39" s="127"/>
    </row>
    <row r="40" spans="1:14" x14ac:dyDescent="0.25">
      <c r="A40" s="1210"/>
      <c r="B40" s="1210"/>
      <c r="C40" s="1210"/>
      <c r="D40" s="1210"/>
      <c r="E40" s="1210"/>
      <c r="F40" s="1210"/>
      <c r="G40" s="1210"/>
      <c r="H40" s="1210"/>
      <c r="I40" s="1210"/>
      <c r="J40" s="1210"/>
      <c r="K40" s="1210"/>
    </row>
    <row r="41" spans="1:14" ht="18" customHeight="1" x14ac:dyDescent="0.25">
      <c r="A41" s="127"/>
      <c r="B41" s="1211" t="s">
        <v>1312</v>
      </c>
      <c r="C41" s="127"/>
      <c r="D41" s="127"/>
      <c r="E41" s="127"/>
      <c r="F41" s="127"/>
      <c r="G41" s="127"/>
      <c r="H41" s="127"/>
      <c r="I41" s="127"/>
      <c r="J41" s="127"/>
      <c r="K41" s="127"/>
    </row>
    <row r="42" spans="1:14" ht="12" customHeight="1" x14ac:dyDescent="0.25">
      <c r="A42" s="127"/>
      <c r="B42" s="127"/>
      <c r="C42" s="127"/>
      <c r="D42" s="127"/>
      <c r="E42" s="127"/>
      <c r="F42" s="127"/>
      <c r="G42" s="127"/>
      <c r="H42" s="127"/>
      <c r="I42" s="127"/>
      <c r="J42" s="127"/>
      <c r="K42" s="127"/>
    </row>
    <row r="43" spans="1:14" ht="18" customHeight="1" x14ac:dyDescent="0.25">
      <c r="A43" s="127"/>
      <c r="B43" s="1800" t="s">
        <v>1000</v>
      </c>
      <c r="C43" s="1801"/>
      <c r="D43" s="1801"/>
      <c r="E43" s="1801"/>
      <c r="F43" s="1801"/>
      <c r="G43" s="1802"/>
      <c r="H43" s="127"/>
      <c r="I43" s="127"/>
      <c r="J43" s="127"/>
      <c r="K43" s="127"/>
    </row>
    <row r="44" spans="1:14" ht="18" customHeight="1" x14ac:dyDescent="0.25">
      <c r="A44" s="127"/>
      <c r="B44" s="1796" t="s">
        <v>1311</v>
      </c>
      <c r="C44" s="1797"/>
      <c r="D44" s="1797"/>
      <c r="E44" s="1797"/>
      <c r="F44" s="1797"/>
      <c r="G44" s="1798"/>
      <c r="H44" s="127"/>
      <c r="I44" s="127"/>
      <c r="J44" s="127"/>
      <c r="K44" s="127"/>
    </row>
    <row r="45" spans="1:14" ht="18" customHeight="1" x14ac:dyDescent="0.25">
      <c r="A45" s="127"/>
      <c r="B45" s="1796" t="s">
        <v>440</v>
      </c>
      <c r="C45" s="1797"/>
      <c r="D45" s="1797"/>
      <c r="E45" s="1797"/>
      <c r="F45" s="1797"/>
      <c r="G45" s="1798"/>
      <c r="H45" s="127"/>
      <c r="I45" s="127"/>
      <c r="J45" s="127"/>
      <c r="K45" s="127"/>
    </row>
    <row r="46" spans="1:14" ht="18" customHeight="1" x14ac:dyDescent="0.25">
      <c r="A46" s="127"/>
      <c r="B46" s="1796" t="s">
        <v>441</v>
      </c>
      <c r="C46" s="1797"/>
      <c r="D46" s="1797"/>
      <c r="E46" s="1797"/>
      <c r="F46" s="1797"/>
      <c r="G46" s="1798"/>
      <c r="H46" s="127"/>
      <c r="I46" s="127"/>
      <c r="J46" s="127"/>
      <c r="K46" s="127"/>
    </row>
    <row r="47" spans="1:14" ht="18" customHeight="1" x14ac:dyDescent="0.25">
      <c r="A47" s="127"/>
      <c r="B47" s="1803" t="s">
        <v>442</v>
      </c>
      <c r="C47" s="1804"/>
      <c r="D47" s="1804"/>
      <c r="E47" s="1804"/>
      <c r="F47" s="1804"/>
      <c r="G47" s="1805"/>
      <c r="H47" s="127"/>
      <c r="I47" s="127"/>
      <c r="J47" s="127"/>
      <c r="K47" s="127"/>
    </row>
    <row r="48" spans="1:14" ht="15" customHeight="1" x14ac:dyDescent="0.25">
      <c r="A48" s="127"/>
      <c r="B48" s="127"/>
      <c r="C48" s="127"/>
      <c r="D48" s="127"/>
      <c r="E48" s="127"/>
      <c r="F48" s="127"/>
      <c r="G48" s="127"/>
      <c r="H48" s="127"/>
      <c r="I48" s="127"/>
      <c r="J48" s="127"/>
      <c r="K48" s="127"/>
    </row>
    <row r="49" spans="1:13" ht="19.5" customHeight="1" x14ac:dyDescent="0.25">
      <c r="A49" s="127"/>
      <c r="B49" s="1212" t="s">
        <v>1001</v>
      </c>
      <c r="C49" s="127"/>
      <c r="D49" s="127"/>
      <c r="E49" s="127"/>
      <c r="F49" s="127"/>
      <c r="G49" s="127"/>
      <c r="H49" s="127"/>
      <c r="I49" s="127"/>
      <c r="J49" s="127"/>
      <c r="K49" s="127"/>
    </row>
    <row r="50" spans="1:13" ht="9" customHeight="1" x14ac:dyDescent="0.25">
      <c r="A50" s="127"/>
      <c r="B50" s="1213"/>
      <c r="C50" s="127"/>
      <c r="D50" s="127"/>
      <c r="E50" s="127"/>
      <c r="F50" s="127"/>
      <c r="G50" s="127"/>
      <c r="H50" s="127"/>
      <c r="I50" s="127"/>
      <c r="J50" s="127"/>
      <c r="K50" s="127"/>
    </row>
    <row r="51" spans="1:13" ht="18" customHeight="1" x14ac:dyDescent="0.25">
      <c r="A51" s="127"/>
      <c r="B51" s="1794" t="s">
        <v>1002</v>
      </c>
      <c r="C51" s="1795"/>
      <c r="D51" s="1795"/>
      <c r="E51" s="1795"/>
      <c r="F51" s="1795"/>
      <c r="G51" s="127"/>
      <c r="H51" s="127"/>
      <c r="I51" s="127"/>
      <c r="J51" s="127"/>
      <c r="K51" s="127"/>
    </row>
    <row r="52" spans="1:13" ht="18" customHeight="1" x14ac:dyDescent="0.25">
      <c r="A52" s="127"/>
      <c r="B52" s="1620" t="s">
        <v>440</v>
      </c>
      <c r="C52" s="1620"/>
      <c r="D52" s="1620"/>
      <c r="E52" s="1620"/>
      <c r="F52" s="728" t="s">
        <v>62</v>
      </c>
      <c r="G52" s="127"/>
      <c r="H52" s="127"/>
      <c r="I52" s="127"/>
      <c r="J52" s="127"/>
      <c r="K52" s="127"/>
      <c r="L52" s="57"/>
      <c r="M52" s="57"/>
    </row>
    <row r="53" spans="1:13" ht="18.75" customHeight="1" x14ac:dyDescent="0.25">
      <c r="A53" s="127"/>
      <c r="B53" s="1620" t="s">
        <v>441</v>
      </c>
      <c r="C53" s="1620"/>
      <c r="D53" s="1620"/>
      <c r="E53" s="1620"/>
      <c r="F53" s="728" t="s">
        <v>62</v>
      </c>
      <c r="G53" s="127"/>
      <c r="H53" s="127"/>
      <c r="I53" s="127"/>
      <c r="J53" s="127"/>
      <c r="K53" s="127"/>
      <c r="L53" s="57"/>
      <c r="M53" s="57"/>
    </row>
    <row r="54" spans="1:13" ht="19.5" customHeight="1" x14ac:dyDescent="0.25">
      <c r="A54" s="127"/>
      <c r="B54" s="1620" t="s">
        <v>442</v>
      </c>
      <c r="C54" s="1620"/>
      <c r="D54" s="1620"/>
      <c r="E54" s="1620"/>
      <c r="F54" s="728" t="s">
        <v>62</v>
      </c>
      <c r="G54" s="127"/>
      <c r="H54" s="127"/>
      <c r="I54" s="127"/>
      <c r="J54" s="127"/>
      <c r="K54" s="127"/>
      <c r="L54" s="57"/>
      <c r="M54" s="57"/>
    </row>
    <row r="55" spans="1:13" ht="19.5" customHeight="1" x14ac:dyDescent="0.25">
      <c r="A55" s="127"/>
      <c r="B55" s="127" t="s">
        <v>753</v>
      </c>
      <c r="C55" s="127"/>
      <c r="D55" s="127"/>
      <c r="E55" s="127"/>
      <c r="F55" s="127"/>
      <c r="G55" s="127"/>
      <c r="H55" s="127"/>
      <c r="I55" s="127"/>
      <c r="J55" s="127"/>
      <c r="K55" s="127"/>
      <c r="L55" s="57"/>
      <c r="M55" s="57"/>
    </row>
    <row r="56" spans="1:13" ht="21" customHeight="1" x14ac:dyDescent="0.25">
      <c r="A56" s="127"/>
      <c r="B56" s="1799"/>
      <c r="C56" s="1799"/>
      <c r="D56" s="1799"/>
      <c r="E56" s="1799"/>
      <c r="F56" s="1799"/>
      <c r="G56" s="1799"/>
      <c r="H56" s="1799"/>
      <c r="I56" s="1799"/>
      <c r="J56" s="127"/>
      <c r="K56" s="127"/>
      <c r="L56" s="57"/>
      <c r="M56" s="57"/>
    </row>
    <row r="57" spans="1:13" ht="21" customHeight="1" x14ac:dyDescent="0.25">
      <c r="A57" s="127"/>
      <c r="B57" s="1799"/>
      <c r="C57" s="1799"/>
      <c r="D57" s="1799"/>
      <c r="E57" s="1799"/>
      <c r="F57" s="1799"/>
      <c r="G57" s="1799"/>
      <c r="H57" s="1799"/>
      <c r="I57" s="1799"/>
      <c r="J57" s="127"/>
      <c r="K57" s="127"/>
      <c r="L57" s="57"/>
      <c r="M57" s="57"/>
    </row>
    <row r="58" spans="1:13" ht="21" customHeight="1" x14ac:dyDescent="0.25">
      <c r="A58" s="127"/>
      <c r="B58" s="127"/>
      <c r="C58" s="127"/>
      <c r="D58" s="127"/>
      <c r="E58" s="127"/>
      <c r="F58" s="127"/>
      <c r="G58" s="127"/>
      <c r="H58" s="127"/>
      <c r="I58" s="127"/>
      <c r="J58" s="127"/>
      <c r="K58" s="127"/>
    </row>
    <row r="59" spans="1:13" ht="21" customHeight="1" x14ac:dyDescent="0.25">
      <c r="A59" s="127"/>
      <c r="B59" s="1621" t="s">
        <v>444</v>
      </c>
      <c r="C59" s="1621"/>
      <c r="D59" s="125" t="str">
        <f>IF(AND(B56&lt;&gt;"",COUNTIF(F52:F54,"Yes")=3),"Yes","No")</f>
        <v>No</v>
      </c>
      <c r="E59" s="127"/>
      <c r="F59" s="127"/>
      <c r="G59" s="127"/>
      <c r="H59" s="127"/>
      <c r="I59" s="127"/>
      <c r="J59" s="127"/>
      <c r="K59" s="127"/>
    </row>
    <row r="60" spans="1:13" ht="21" customHeight="1" x14ac:dyDescent="0.25">
      <c r="A60" s="127"/>
      <c r="B60" s="127"/>
      <c r="C60" s="127"/>
      <c r="D60" s="127"/>
      <c r="E60" s="127"/>
      <c r="F60" s="127"/>
      <c r="G60" s="127"/>
      <c r="H60" s="127"/>
      <c r="I60" s="127"/>
      <c r="J60" s="127"/>
      <c r="K60" s="127"/>
    </row>
    <row r="61" spans="1:13" ht="16.5" customHeight="1" x14ac:dyDescent="0.25">
      <c r="A61" s="1677" t="s">
        <v>97</v>
      </c>
      <c r="B61" s="1677"/>
      <c r="C61" s="1677"/>
      <c r="D61" s="127"/>
      <c r="E61" s="127"/>
      <c r="F61" s="127"/>
      <c r="G61" s="127"/>
      <c r="H61" s="127"/>
      <c r="I61" s="127"/>
      <c r="J61" s="127"/>
      <c r="K61" s="127"/>
    </row>
    <row r="62" spans="1:13" ht="16.5" customHeight="1" x14ac:dyDescent="0.25">
      <c r="A62" s="127"/>
      <c r="B62" s="127"/>
      <c r="C62" s="127"/>
      <c r="D62" s="127"/>
      <c r="E62" s="127"/>
      <c r="F62" s="127"/>
      <c r="G62" s="127"/>
      <c r="H62" s="127"/>
      <c r="I62" s="127"/>
      <c r="J62" s="127"/>
      <c r="K62" s="127"/>
    </row>
    <row r="63" spans="1:13" ht="21" customHeight="1" x14ac:dyDescent="0.25">
      <c r="A63" s="127"/>
      <c r="B63" s="1627" t="s">
        <v>1315</v>
      </c>
      <c r="C63" s="1628"/>
      <c r="D63" s="1628"/>
      <c r="E63" s="1628"/>
      <c r="F63" s="1628"/>
      <c r="G63" s="769" t="s">
        <v>1297</v>
      </c>
      <c r="H63" s="1629" t="s">
        <v>1298</v>
      </c>
      <c r="I63" s="1630"/>
      <c r="J63" s="123"/>
      <c r="K63" s="127"/>
    </row>
    <row r="64" spans="1:13" ht="27" customHeight="1" x14ac:dyDescent="0.25">
      <c r="A64" s="127"/>
      <c r="B64" s="1644" t="str">
        <f>Submittals!H34</f>
        <v>Select the Submission Stage in Project Information</v>
      </c>
      <c r="C64" s="1645"/>
      <c r="D64" s="1645"/>
      <c r="E64" s="1645"/>
      <c r="F64" s="1646"/>
      <c r="G64" s="1271" t="s">
        <v>62</v>
      </c>
      <c r="H64" s="1625"/>
      <c r="I64" s="1662"/>
      <c r="J64" s="123"/>
      <c r="K64" s="127"/>
      <c r="L64" s="37" t="str">
        <f>IF(OR(B64="/",B64="No evidence required at this submission stage"),"Yes",IF(G64="Submitted","Yes","No"))</f>
        <v>No</v>
      </c>
    </row>
    <row r="65" spans="1:12" ht="27" customHeight="1" x14ac:dyDescent="0.25">
      <c r="A65" s="127"/>
      <c r="B65" s="1644" t="str">
        <f>Submittals!H35</f>
        <v>Select the Submission Stage in Project Information</v>
      </c>
      <c r="C65" s="1645"/>
      <c r="D65" s="1645"/>
      <c r="E65" s="1645"/>
      <c r="F65" s="1646"/>
      <c r="G65" s="1271" t="s">
        <v>62</v>
      </c>
      <c r="H65" s="1625"/>
      <c r="I65" s="1662"/>
      <c r="J65" s="127"/>
      <c r="K65" s="127"/>
      <c r="L65" s="37" t="str">
        <f>IF(OR(B65="/",B65="No evidence required at this submission stage"),"Yes",IF(G65="Submitted","Yes","No"))</f>
        <v>No</v>
      </c>
    </row>
    <row r="66" spans="1:12" ht="15" customHeight="1" x14ac:dyDescent="0.25">
      <c r="A66" s="127"/>
      <c r="B66" s="127"/>
      <c r="C66" s="127"/>
      <c r="D66" s="127"/>
      <c r="E66" s="127"/>
      <c r="F66" s="127"/>
      <c r="G66" s="127"/>
      <c r="H66" s="127"/>
      <c r="I66" s="127"/>
      <c r="J66" s="127"/>
      <c r="K66" s="127"/>
    </row>
    <row r="67" spans="1:12" ht="21" customHeight="1" x14ac:dyDescent="0.25">
      <c r="A67" s="127"/>
      <c r="B67" s="1627" t="s">
        <v>1314</v>
      </c>
      <c r="C67" s="1628"/>
      <c r="D67" s="1628"/>
      <c r="E67" s="1628"/>
      <c r="F67" s="1628"/>
      <c r="G67" s="793" t="s">
        <v>1297</v>
      </c>
      <c r="H67" s="1629" t="s">
        <v>1298</v>
      </c>
      <c r="I67" s="1630"/>
      <c r="J67" s="127"/>
      <c r="K67" s="127"/>
    </row>
    <row r="68" spans="1:12" ht="29.25" customHeight="1" x14ac:dyDescent="0.25">
      <c r="A68" s="127"/>
      <c r="B68" s="1644" t="str">
        <f>Submittals!H36</f>
        <v>Select the Submission Stage in Project Information</v>
      </c>
      <c r="C68" s="1645"/>
      <c r="D68" s="1645"/>
      <c r="E68" s="1645"/>
      <c r="F68" s="1646"/>
      <c r="G68" s="1271" t="s">
        <v>62</v>
      </c>
      <c r="H68" s="1625"/>
      <c r="I68" s="1662"/>
      <c r="J68" s="127"/>
      <c r="K68" s="127"/>
      <c r="L68" s="37" t="str">
        <f>IF(OR(B68="/",B68="No evidence required at this submission stage"),"Yes",IF(G68="Submitted","Yes","No"))</f>
        <v>No</v>
      </c>
    </row>
    <row r="69" spans="1:12" ht="27" customHeight="1" x14ac:dyDescent="0.25">
      <c r="A69" s="127"/>
      <c r="B69" s="1644" t="str">
        <f>Submittals!H37</f>
        <v>Select the Submission Stage in Project Information</v>
      </c>
      <c r="C69" s="1645"/>
      <c r="D69" s="1645"/>
      <c r="E69" s="1645"/>
      <c r="F69" s="1646"/>
      <c r="G69" s="1271" t="s">
        <v>62</v>
      </c>
      <c r="H69" s="1625"/>
      <c r="I69" s="1662"/>
      <c r="J69" s="127"/>
      <c r="K69" s="127"/>
      <c r="L69" s="37" t="str">
        <f>IF(OR(B69="/",B69="No evidence required at this submission stage"),"Yes",IF(G69="Submitted","Yes","No"))</f>
        <v>No</v>
      </c>
    </row>
    <row r="70" spans="1:12" ht="19.5" customHeight="1" x14ac:dyDescent="0.25">
      <c r="A70" s="127"/>
      <c r="B70" s="127"/>
      <c r="C70" s="127"/>
      <c r="D70" s="127"/>
      <c r="E70" s="123"/>
      <c r="F70" s="123"/>
      <c r="G70" s="123"/>
      <c r="H70" s="123"/>
      <c r="I70" s="123"/>
      <c r="J70" s="123"/>
      <c r="K70" s="123"/>
    </row>
    <row r="71" spans="1:12" ht="16.5" customHeight="1" x14ac:dyDescent="0.25">
      <c r="A71" s="1677" t="s">
        <v>8</v>
      </c>
      <c r="B71" s="1677"/>
      <c r="C71" s="1677"/>
      <c r="D71" s="127"/>
      <c r="E71" s="127"/>
      <c r="F71" s="127"/>
      <c r="G71" s="127"/>
      <c r="H71" s="127"/>
      <c r="I71" s="127"/>
      <c r="J71" s="127"/>
      <c r="K71" s="127"/>
    </row>
    <row r="72" spans="1:12" ht="16.5" customHeight="1" x14ac:dyDescent="0.25">
      <c r="A72" s="127"/>
      <c r="B72" s="127"/>
      <c r="C72" s="127"/>
      <c r="D72" s="127"/>
      <c r="E72" s="127"/>
      <c r="F72" s="127"/>
      <c r="G72" s="127"/>
      <c r="H72" s="127"/>
      <c r="I72" s="127"/>
      <c r="J72" s="127"/>
      <c r="K72" s="127"/>
    </row>
    <row r="73" spans="1:12" ht="18" customHeight="1" x14ac:dyDescent="0.25">
      <c r="A73" s="127"/>
      <c r="B73" s="110" t="s">
        <v>19</v>
      </c>
      <c r="C73" s="8">
        <f>IF(D38="Yes",IF(D59="Yes",2,1),0)</f>
        <v>0</v>
      </c>
      <c r="D73" s="127"/>
      <c r="E73" s="127"/>
      <c r="F73" s="127"/>
      <c r="G73" s="127"/>
      <c r="H73" s="127"/>
      <c r="I73" s="127"/>
      <c r="J73" s="127"/>
      <c r="K73" s="127"/>
    </row>
    <row r="74" spans="1:12" ht="18" customHeight="1" x14ac:dyDescent="0.25">
      <c r="A74" s="127"/>
      <c r="B74" s="110" t="s">
        <v>151</v>
      </c>
      <c r="C74" s="7" t="str">
        <f>IF(AND(COUNTIF(L64:L65,"Yes")=2,C73=1),"Yes",IF(AND(COUNTIF(L64:L69,"Yes")=4,C73=2),"Yes","No"))</f>
        <v>No</v>
      </c>
      <c r="D74" s="127"/>
      <c r="E74" s="127"/>
      <c r="F74" s="127"/>
      <c r="G74" s="127"/>
      <c r="H74" s="127"/>
      <c r="I74" s="127"/>
      <c r="J74" s="127"/>
      <c r="K74" s="127"/>
    </row>
    <row r="75" spans="1:12" ht="21" customHeight="1" x14ac:dyDescent="0.25">
      <c r="A75" s="127"/>
      <c r="B75" s="127"/>
      <c r="C75" s="127"/>
      <c r="D75" s="127"/>
      <c r="E75" s="127"/>
      <c r="F75" s="127"/>
      <c r="G75" s="127"/>
      <c r="H75" s="127"/>
      <c r="I75" s="127"/>
      <c r="J75" s="127"/>
      <c r="K75" s="127"/>
    </row>
    <row r="76" spans="1:12" ht="18" customHeight="1" x14ac:dyDescent="0.25">
      <c r="A76" s="1676" t="s">
        <v>2257</v>
      </c>
      <c r="B76" s="1676"/>
      <c r="C76" s="1676"/>
      <c r="D76" s="1676"/>
      <c r="E76" s="1676"/>
      <c r="F76" s="1676"/>
      <c r="G76" s="1676"/>
      <c r="H76" s="1676"/>
      <c r="I76" s="1676"/>
      <c r="J76" s="1676"/>
      <c r="K76" s="1676"/>
    </row>
    <row r="77" spans="1:12" ht="15" customHeight="1" x14ac:dyDescent="0.25">
      <c r="A77" s="128"/>
      <c r="B77" s="128"/>
      <c r="C77" s="128"/>
      <c r="D77" s="128"/>
      <c r="E77" s="128"/>
      <c r="F77" s="124"/>
      <c r="G77" s="124"/>
      <c r="H77" s="124"/>
      <c r="I77" s="124"/>
      <c r="J77" s="124"/>
      <c r="K77" s="124"/>
    </row>
    <row r="78" spans="1:12" ht="16.5" customHeight="1" x14ac:dyDescent="0.25">
      <c r="A78" s="1677" t="s">
        <v>117</v>
      </c>
      <c r="B78" s="1677"/>
      <c r="C78" s="1677"/>
      <c r="D78" s="128"/>
      <c r="E78" s="128"/>
      <c r="F78" s="128"/>
      <c r="G78" s="128"/>
      <c r="H78" s="128"/>
      <c r="I78" s="128"/>
      <c r="J78" s="128"/>
      <c r="K78" s="128"/>
    </row>
    <row r="79" spans="1:12" ht="12" customHeight="1" x14ac:dyDescent="0.25">
      <c r="A79" s="128"/>
      <c r="B79" s="128"/>
      <c r="C79" s="128"/>
      <c r="D79" s="128"/>
      <c r="E79" s="128"/>
      <c r="F79" s="128"/>
      <c r="G79" s="128"/>
      <c r="H79" s="128"/>
      <c r="I79" s="128"/>
      <c r="J79" s="128"/>
      <c r="K79" s="128"/>
    </row>
    <row r="80" spans="1:12" ht="15" customHeight="1" x14ac:dyDescent="0.25">
      <c r="A80" s="128"/>
      <c r="B80" s="1215" t="s">
        <v>2258</v>
      </c>
      <c r="C80" s="128"/>
      <c r="D80" s="128"/>
      <c r="E80" s="128"/>
      <c r="F80" s="128"/>
      <c r="G80" s="128"/>
      <c r="H80" s="128"/>
      <c r="I80" s="128"/>
      <c r="J80" s="128"/>
      <c r="K80" s="128"/>
    </row>
    <row r="81" spans="1:14" ht="15" customHeight="1" x14ac:dyDescent="0.25">
      <c r="A81" s="128"/>
      <c r="B81" s="1215"/>
      <c r="C81" s="128"/>
      <c r="D81" s="128"/>
      <c r="E81" s="128"/>
      <c r="F81" s="128"/>
      <c r="G81" s="128"/>
      <c r="H81" s="128"/>
      <c r="I81" s="128"/>
      <c r="J81" s="128"/>
      <c r="K81" s="128"/>
    </row>
    <row r="82" spans="1:14" ht="15" customHeight="1" x14ac:dyDescent="0.25">
      <c r="A82" s="128"/>
      <c r="B82" s="1732" t="s">
        <v>2259</v>
      </c>
      <c r="C82" s="1733"/>
      <c r="D82" s="1733"/>
      <c r="E82" s="1733"/>
      <c r="F82" s="1733"/>
      <c r="G82" s="1733"/>
      <c r="H82" s="1734"/>
      <c r="I82" s="128"/>
      <c r="J82" s="128"/>
      <c r="K82" s="128"/>
    </row>
    <row r="83" spans="1:14" ht="15" customHeight="1" x14ac:dyDescent="0.25">
      <c r="A83" s="128"/>
      <c r="B83" s="1808" t="s">
        <v>2260</v>
      </c>
      <c r="C83" s="1809"/>
      <c r="D83" s="1809"/>
      <c r="E83" s="1809"/>
      <c r="F83" s="1809"/>
      <c r="G83" s="1809"/>
      <c r="H83" s="1810"/>
      <c r="I83" s="128"/>
      <c r="J83" s="128"/>
      <c r="K83" s="128"/>
    </row>
    <row r="84" spans="1:14" ht="15" customHeight="1" x14ac:dyDescent="0.25">
      <c r="A84" s="128"/>
      <c r="B84" s="1808" t="s">
        <v>2261</v>
      </c>
      <c r="C84" s="1809"/>
      <c r="D84" s="1809"/>
      <c r="E84" s="1809"/>
      <c r="F84" s="1809"/>
      <c r="G84" s="1809"/>
      <c r="H84" s="1810"/>
      <c r="I84" s="128"/>
      <c r="J84" s="128"/>
      <c r="K84" s="128"/>
    </row>
    <row r="85" spans="1:14" ht="15" customHeight="1" x14ac:dyDescent="0.25">
      <c r="A85" s="128"/>
      <c r="B85" s="1811" t="s">
        <v>2262</v>
      </c>
      <c r="C85" s="1812"/>
      <c r="D85" s="1812"/>
      <c r="E85" s="1812"/>
      <c r="F85" s="1812"/>
      <c r="G85" s="1812"/>
      <c r="H85" s="1813"/>
      <c r="I85" s="128"/>
      <c r="J85" s="128"/>
      <c r="K85" s="128"/>
    </row>
    <row r="86" spans="1:14" ht="18.75" customHeight="1" x14ac:dyDescent="0.25">
      <c r="A86" s="128"/>
      <c r="B86" s="128"/>
      <c r="C86" s="128"/>
      <c r="D86" s="128"/>
      <c r="E86" s="128"/>
      <c r="F86" s="128"/>
      <c r="G86" s="128"/>
      <c r="H86" s="128"/>
      <c r="I86" s="128"/>
      <c r="J86" s="128"/>
      <c r="K86" s="128"/>
    </row>
    <row r="87" spans="1:14" ht="15" customHeight="1" x14ac:dyDescent="0.25">
      <c r="A87" s="128"/>
      <c r="B87" s="1814" t="s">
        <v>2263</v>
      </c>
      <c r="C87" s="1815"/>
      <c r="D87" s="1815"/>
      <c r="E87" s="1815"/>
      <c r="F87" s="1815"/>
      <c r="G87" s="128"/>
      <c r="H87" s="128"/>
      <c r="I87" s="128"/>
      <c r="J87" s="128"/>
      <c r="K87" s="128"/>
    </row>
    <row r="88" spans="1:14" ht="9" customHeight="1" x14ac:dyDescent="0.25">
      <c r="A88" s="128"/>
      <c r="B88" s="1216"/>
      <c r="C88" s="1217"/>
      <c r="D88" s="1217"/>
      <c r="E88" s="1217"/>
      <c r="F88" s="1217"/>
      <c r="G88" s="128"/>
      <c r="H88" s="128"/>
      <c r="I88" s="128"/>
      <c r="J88" s="128"/>
      <c r="K88" s="128"/>
    </row>
    <row r="89" spans="1:14" ht="18" customHeight="1" x14ac:dyDescent="0.25">
      <c r="A89" s="128"/>
      <c r="B89" s="1620" t="s">
        <v>2264</v>
      </c>
      <c r="C89" s="1620"/>
      <c r="D89" s="1620"/>
      <c r="E89" s="1620"/>
      <c r="F89" s="1620"/>
      <c r="G89" s="1175" t="s">
        <v>62</v>
      </c>
      <c r="H89" s="128"/>
      <c r="I89" s="128"/>
      <c r="J89" s="128"/>
      <c r="K89" s="128"/>
      <c r="N89" s="57"/>
    </row>
    <row r="90" spans="1:14" ht="18" customHeight="1" x14ac:dyDescent="0.25">
      <c r="A90" s="128"/>
      <c r="B90" s="1620" t="s">
        <v>2265</v>
      </c>
      <c r="C90" s="1620"/>
      <c r="D90" s="1620"/>
      <c r="E90" s="1620"/>
      <c r="F90" s="1620"/>
      <c r="G90" s="1175" t="s">
        <v>62</v>
      </c>
      <c r="H90" s="128"/>
      <c r="I90" s="128"/>
      <c r="J90" s="128"/>
      <c r="K90" s="128"/>
      <c r="N90" s="57"/>
    </row>
    <row r="91" spans="1:14" ht="18" customHeight="1" x14ac:dyDescent="0.25">
      <c r="A91" s="128"/>
      <c r="B91" s="1620" t="s">
        <v>2266</v>
      </c>
      <c r="C91" s="1620"/>
      <c r="D91" s="1620"/>
      <c r="E91" s="1620"/>
      <c r="F91" s="1620"/>
      <c r="G91" s="1175" t="s">
        <v>62</v>
      </c>
      <c r="H91" s="128"/>
      <c r="I91" s="128"/>
      <c r="J91" s="128"/>
      <c r="K91" s="128"/>
      <c r="N91" s="57"/>
    </row>
    <row r="92" spans="1:14" ht="18" customHeight="1" x14ac:dyDescent="0.25">
      <c r="A92" s="128"/>
      <c r="B92" s="1620" t="s">
        <v>2267</v>
      </c>
      <c r="C92" s="1620"/>
      <c r="D92" s="1620"/>
      <c r="E92" s="1620"/>
      <c r="F92" s="1620"/>
      <c r="G92" s="1175" t="s">
        <v>62</v>
      </c>
      <c r="H92" s="128"/>
      <c r="I92" s="128"/>
      <c r="J92" s="128"/>
      <c r="K92" s="128"/>
      <c r="N92" s="57"/>
    </row>
    <row r="93" spans="1:14" ht="15" customHeight="1" x14ac:dyDescent="0.25">
      <c r="A93" s="128"/>
      <c r="B93" s="128"/>
      <c r="C93" s="128"/>
      <c r="D93" s="128"/>
      <c r="E93" s="128"/>
      <c r="F93" s="128"/>
      <c r="G93" s="128"/>
      <c r="H93" s="128"/>
      <c r="I93" s="128"/>
      <c r="J93" s="128"/>
      <c r="K93" s="128"/>
    </row>
    <row r="94" spans="1:14" ht="18" customHeight="1" x14ac:dyDescent="0.25">
      <c r="A94" s="128"/>
      <c r="B94" s="1621" t="s">
        <v>2268</v>
      </c>
      <c r="C94" s="1621"/>
      <c r="D94" s="125" t="str">
        <f>IF(COUNTIF(G89:G92,"Yes")=4,"Yes","No")</f>
        <v>No</v>
      </c>
      <c r="E94" s="128"/>
      <c r="F94" s="128"/>
      <c r="G94" s="128"/>
      <c r="H94" s="128"/>
      <c r="I94" s="128"/>
      <c r="J94" s="128"/>
      <c r="K94" s="128"/>
    </row>
    <row r="95" spans="1:14" ht="18" customHeight="1" x14ac:dyDescent="0.25">
      <c r="A95" s="128"/>
      <c r="B95" s="128"/>
      <c r="C95" s="128"/>
      <c r="D95" s="128"/>
      <c r="E95" s="128"/>
      <c r="F95" s="128"/>
      <c r="G95" s="128"/>
      <c r="H95" s="128"/>
      <c r="I95" s="128"/>
      <c r="J95" s="128"/>
      <c r="K95" s="128"/>
    </row>
    <row r="96" spans="1:14" ht="16.5" customHeight="1" x14ac:dyDescent="0.25">
      <c r="A96" s="1677" t="s">
        <v>97</v>
      </c>
      <c r="B96" s="1677"/>
      <c r="C96" s="1677"/>
      <c r="D96" s="128"/>
      <c r="E96" s="128"/>
      <c r="F96" s="128"/>
      <c r="G96" s="128"/>
      <c r="H96" s="128"/>
      <c r="I96" s="128"/>
      <c r="J96" s="128"/>
      <c r="K96" s="128"/>
    </row>
    <row r="97" spans="1:12" x14ac:dyDescent="0.25">
      <c r="A97" s="124"/>
      <c r="B97" s="128"/>
      <c r="C97" s="128"/>
      <c r="D97" s="128"/>
      <c r="E97" s="124"/>
      <c r="F97" s="124"/>
      <c r="G97" s="124"/>
      <c r="H97" s="124"/>
      <c r="I97" s="124"/>
      <c r="J97" s="124"/>
      <c r="K97" s="124"/>
    </row>
    <row r="98" spans="1:12" ht="21" customHeight="1" x14ac:dyDescent="0.25">
      <c r="A98" s="124"/>
      <c r="B98" s="1627" t="s">
        <v>98</v>
      </c>
      <c r="C98" s="1628"/>
      <c r="D98" s="1628"/>
      <c r="E98" s="1628"/>
      <c r="F98" s="1628"/>
      <c r="G98" s="1174" t="s">
        <v>1297</v>
      </c>
      <c r="H98" s="1629" t="s">
        <v>1298</v>
      </c>
      <c r="I98" s="1630"/>
      <c r="J98" s="124"/>
      <c r="K98" s="124"/>
    </row>
    <row r="99" spans="1:12" ht="30" customHeight="1" x14ac:dyDescent="0.25">
      <c r="A99" s="124"/>
      <c r="B99" s="1644" t="str">
        <f>Submittals!H38</f>
        <v>Select the Submission Stage in Project Information</v>
      </c>
      <c r="C99" s="1645"/>
      <c r="D99" s="1645"/>
      <c r="E99" s="1645"/>
      <c r="F99" s="1646"/>
      <c r="G99" s="1271" t="s">
        <v>62</v>
      </c>
      <c r="H99" s="1625"/>
      <c r="I99" s="1662"/>
      <c r="J99" s="124"/>
      <c r="K99" s="124"/>
      <c r="L99" s="37" t="str">
        <f>IF(OR(B99="/",B99="No evidence required at this submission stage"),"Yes",IF(G99="Submitted","Yes","No"))</f>
        <v>No</v>
      </c>
    </row>
    <row r="100" spans="1:12" ht="30" customHeight="1" x14ac:dyDescent="0.25">
      <c r="A100" s="124"/>
      <c r="B100" s="1644" t="str">
        <f>Submittals!H39</f>
        <v>Select the Submission Stage in Project Information</v>
      </c>
      <c r="C100" s="1645"/>
      <c r="D100" s="1645"/>
      <c r="E100" s="1645"/>
      <c r="F100" s="1646"/>
      <c r="G100" s="1271" t="s">
        <v>62</v>
      </c>
      <c r="H100" s="1625"/>
      <c r="I100" s="1662"/>
      <c r="J100" s="124"/>
      <c r="K100" s="124"/>
      <c r="L100" s="37" t="str">
        <f>IF(OR(B100="/",B100="No evidence required at this submission stage"),"Yes",IF(G100="Submitted","Yes","No"))</f>
        <v>No</v>
      </c>
    </row>
    <row r="101" spans="1:12" ht="15" customHeight="1" x14ac:dyDescent="0.25">
      <c r="A101" s="124"/>
      <c r="B101" s="124"/>
      <c r="C101" s="124"/>
      <c r="D101" s="124"/>
      <c r="E101" s="124"/>
      <c r="F101" s="124"/>
      <c r="G101" s="124"/>
      <c r="H101" s="124"/>
      <c r="I101" s="124"/>
      <c r="J101" s="124"/>
      <c r="K101" s="124"/>
    </row>
    <row r="102" spans="1:12" ht="16.5" customHeight="1" x14ac:dyDescent="0.25">
      <c r="A102" s="1677" t="s">
        <v>8</v>
      </c>
      <c r="B102" s="1677"/>
      <c r="C102" s="1677"/>
      <c r="D102" s="128"/>
      <c r="E102" s="128"/>
      <c r="F102" s="128"/>
      <c r="G102" s="128"/>
      <c r="H102" s="128"/>
      <c r="I102" s="128"/>
      <c r="J102" s="128"/>
      <c r="K102" s="128"/>
    </row>
    <row r="103" spans="1:12" ht="16.5" customHeight="1" x14ac:dyDescent="0.25">
      <c r="A103" s="128"/>
      <c r="B103" s="128"/>
      <c r="C103" s="128"/>
      <c r="D103" s="128"/>
      <c r="E103" s="128"/>
      <c r="F103" s="128"/>
      <c r="G103" s="128"/>
      <c r="H103" s="128"/>
      <c r="I103" s="128"/>
      <c r="J103" s="128"/>
      <c r="K103" s="128"/>
    </row>
    <row r="104" spans="1:12" ht="18" customHeight="1" x14ac:dyDescent="0.25">
      <c r="A104" s="128"/>
      <c r="B104" s="110" t="s">
        <v>19</v>
      </c>
      <c r="C104" s="8">
        <f>IF(D94="Yes",1,0)</f>
        <v>0</v>
      </c>
      <c r="D104" s="128"/>
      <c r="E104" s="128"/>
      <c r="F104" s="128"/>
      <c r="G104" s="128"/>
      <c r="H104" s="128"/>
      <c r="I104" s="128"/>
      <c r="J104" s="128"/>
      <c r="K104" s="128"/>
    </row>
    <row r="105" spans="1:12" ht="18" customHeight="1" x14ac:dyDescent="0.25">
      <c r="A105" s="128"/>
      <c r="B105" s="110" t="s">
        <v>151</v>
      </c>
      <c r="C105" s="7" t="str">
        <f>IF(AND(COUNTIF(L99:L100,"Yes")=2,C104=1),"Yes",IF(AND(COUNTIF(L99:L100,"Yes")=4,C104=2),"Yes","No"))</f>
        <v>No</v>
      </c>
      <c r="D105" s="128"/>
      <c r="E105" s="128"/>
      <c r="F105" s="128"/>
      <c r="G105" s="128"/>
      <c r="H105" s="128"/>
      <c r="I105" s="128"/>
      <c r="J105" s="128"/>
      <c r="K105" s="128"/>
    </row>
    <row r="106" spans="1:12" ht="21" customHeight="1" x14ac:dyDescent="0.25">
      <c r="A106" s="128"/>
      <c r="B106" s="128"/>
      <c r="C106" s="128"/>
      <c r="D106" s="128"/>
      <c r="E106" s="128"/>
      <c r="F106" s="128"/>
      <c r="G106" s="128"/>
      <c r="H106" s="128"/>
      <c r="I106" s="128"/>
      <c r="J106" s="128"/>
      <c r="K106" s="128"/>
    </row>
    <row r="107" spans="1:12" ht="15" hidden="1" customHeight="1" x14ac:dyDescent="0.25">
      <c r="A107" s="128"/>
      <c r="B107" s="128"/>
      <c r="C107" s="128"/>
      <c r="D107" s="128"/>
      <c r="E107" s="128"/>
      <c r="F107" s="128"/>
      <c r="G107" s="128"/>
      <c r="H107" s="128"/>
      <c r="I107" s="128"/>
      <c r="J107" s="128"/>
      <c r="K107" s="128"/>
    </row>
    <row r="108" spans="1:12" hidden="1" x14ac:dyDescent="0.25"/>
    <row r="109" spans="1:12" hidden="1" x14ac:dyDescent="0.25"/>
    <row r="110" spans="1:12" hidden="1" x14ac:dyDescent="0.25"/>
    <row r="111" spans="1:12" hidden="1" x14ac:dyDescent="0.25"/>
    <row r="112" spans="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sheetData>
  <sheetProtection algorithmName="SHA-512" hashValue="F+6nh5JCfY6c5+PjNQejxkJcFJtv9z04PSKu4fr44S6O7OO0z1W3FtDDJFZMIrA5+xKC+v6FnRgAHvBFugSlqQ==" saltValue="Nz8q+aiVvtWlRIO06QXRMg==" spinCount="100000" sheet="1" objects="1" scenarios="1"/>
  <mergeCells count="63">
    <mergeCell ref="B11:C11"/>
    <mergeCell ref="A102:C102"/>
    <mergeCell ref="B82:H82"/>
    <mergeCell ref="B83:H83"/>
    <mergeCell ref="B84:H84"/>
    <mergeCell ref="B85:H85"/>
    <mergeCell ref="B87:F87"/>
    <mergeCell ref="B89:F89"/>
    <mergeCell ref="B90:F90"/>
    <mergeCell ref="B91:F91"/>
    <mergeCell ref="B92:F92"/>
    <mergeCell ref="B94:C94"/>
    <mergeCell ref="B100:F100"/>
    <mergeCell ref="H100:I100"/>
    <mergeCell ref="A96:C96"/>
    <mergeCell ref="B98:F98"/>
    <mergeCell ref="H98:I98"/>
    <mergeCell ref="B99:F99"/>
    <mergeCell ref="H99:I99"/>
    <mergeCell ref="A76:K76"/>
    <mergeCell ref="A78:C78"/>
    <mergeCell ref="B15:E15"/>
    <mergeCell ref="A17:K17"/>
    <mergeCell ref="A19:C19"/>
    <mergeCell ref="A61:C61"/>
    <mergeCell ref="A71:C71"/>
    <mergeCell ref="H69:I69"/>
    <mergeCell ref="H64:I64"/>
    <mergeCell ref="H65:I65"/>
    <mergeCell ref="B54:E54"/>
    <mergeCell ref="B59:C59"/>
    <mergeCell ref="B68:F68"/>
    <mergeCell ref="B69:F69"/>
    <mergeCell ref="B67:F67"/>
    <mergeCell ref="H67:I67"/>
    <mergeCell ref="H68:I68"/>
    <mergeCell ref="B34:E34"/>
    <mergeCell ref="B36:E36"/>
    <mergeCell ref="B56:I57"/>
    <mergeCell ref="B51:F51"/>
    <mergeCell ref="B38:C38"/>
    <mergeCell ref="B52:E52"/>
    <mergeCell ref="B53:E53"/>
    <mergeCell ref="B43:G43"/>
    <mergeCell ref="B45:G45"/>
    <mergeCell ref="B46:G46"/>
    <mergeCell ref="B47:G47"/>
    <mergeCell ref="A1:K1"/>
    <mergeCell ref="H36:J36"/>
    <mergeCell ref="B31:F31"/>
    <mergeCell ref="B64:F64"/>
    <mergeCell ref="B65:F65"/>
    <mergeCell ref="A5:K7"/>
    <mergeCell ref="H2:J4"/>
    <mergeCell ref="B32:E32"/>
    <mergeCell ref="B33:E33"/>
    <mergeCell ref="B13:E13"/>
    <mergeCell ref="B14:E14"/>
    <mergeCell ref="A9:K9"/>
    <mergeCell ref="B63:F63"/>
    <mergeCell ref="H63:I63"/>
    <mergeCell ref="B44:G44"/>
    <mergeCell ref="B35:E35"/>
  </mergeCells>
  <conditionalFormatting sqref="F14:G14">
    <cfRule type="expression" dxfId="566" priority="32">
      <formula>OR(#REF!="No",#REF!="Không")</formula>
    </cfRule>
  </conditionalFormatting>
  <conditionalFormatting sqref="F14:G14">
    <cfRule type="expression" dxfId="565" priority="33">
      <formula>OR($D14="No",$D14="Không")</formula>
    </cfRule>
    <cfRule type="expression" dxfId="564" priority="34">
      <formula>OR(#REF!="No",#REF!="Không")</formula>
    </cfRule>
  </conditionalFormatting>
  <conditionalFormatting sqref="B14">
    <cfRule type="expression" dxfId="563" priority="424">
      <formula>#REF!="Option B"</formula>
    </cfRule>
  </conditionalFormatting>
  <conditionalFormatting sqref="B14">
    <cfRule type="expression" dxfId="562" priority="425">
      <formula>#REF!="No"</formula>
    </cfRule>
  </conditionalFormatting>
  <conditionalFormatting sqref="H14">
    <cfRule type="expression" dxfId="561" priority="27">
      <formula>OR(#REF!="No",#REF!="Không")</formula>
    </cfRule>
  </conditionalFormatting>
  <conditionalFormatting sqref="H14">
    <cfRule type="expression" dxfId="560" priority="25">
      <formula>OR($D14="No",$D14="Không")</formula>
    </cfRule>
    <cfRule type="expression" dxfId="559" priority="26">
      <formula>OR(#REF!="No",#REF!="Không")</formula>
    </cfRule>
  </conditionalFormatting>
  <conditionalFormatting sqref="H64:I64">
    <cfRule type="expression" dxfId="558" priority="12">
      <formula>$B64="No evidence required at this submission stage"</formula>
    </cfRule>
  </conditionalFormatting>
  <conditionalFormatting sqref="F15:G15">
    <cfRule type="expression" dxfId="557" priority="18">
      <formula>OR(#REF!="No",#REF!="Không")</formula>
    </cfRule>
  </conditionalFormatting>
  <conditionalFormatting sqref="F15:G15">
    <cfRule type="expression" dxfId="556" priority="19">
      <formula>OR($D15="No",$D15="Không")</formula>
    </cfRule>
    <cfRule type="expression" dxfId="555" priority="20">
      <formula>OR(#REF!="No",#REF!="Không")</formula>
    </cfRule>
  </conditionalFormatting>
  <conditionalFormatting sqref="B15">
    <cfRule type="expression" dxfId="554" priority="21">
      <formula>#REF!="Option B"</formula>
    </cfRule>
  </conditionalFormatting>
  <conditionalFormatting sqref="B15">
    <cfRule type="expression" dxfId="553" priority="22">
      <formula>#REF!="No"</formula>
    </cfRule>
  </conditionalFormatting>
  <conditionalFormatting sqref="H15">
    <cfRule type="expression" dxfId="552" priority="17">
      <formula>OR(#REF!="No",#REF!="Không")</formula>
    </cfRule>
  </conditionalFormatting>
  <conditionalFormatting sqref="H15">
    <cfRule type="expression" dxfId="551" priority="15">
      <formula>OR($D15="No",$D15="Không")</formula>
    </cfRule>
    <cfRule type="expression" dxfId="550" priority="16">
      <formula>OR(#REF!="No",#REF!="Không")</formula>
    </cfRule>
  </conditionalFormatting>
  <conditionalFormatting sqref="H65:I65">
    <cfRule type="expression" dxfId="549" priority="11">
      <formula>$B65="No evidence required at this submission stage"</formula>
    </cfRule>
  </conditionalFormatting>
  <conditionalFormatting sqref="G64:I65">
    <cfRule type="expression" dxfId="548" priority="9">
      <formula>$B64="/"</formula>
    </cfRule>
    <cfRule type="expression" dxfId="547" priority="10">
      <formula>$B64="No evidence required at this submission stage"</formula>
    </cfRule>
  </conditionalFormatting>
  <conditionalFormatting sqref="H68:I68">
    <cfRule type="expression" dxfId="546" priority="8">
      <formula>$B68="No evidence required at this submission stage"</formula>
    </cfRule>
  </conditionalFormatting>
  <conditionalFormatting sqref="H69:I69">
    <cfRule type="expression" dxfId="545" priority="7">
      <formula>$B69="No evidence required at this submission stage"</formula>
    </cfRule>
  </conditionalFormatting>
  <conditionalFormatting sqref="G68:I69">
    <cfRule type="expression" dxfId="544" priority="5">
      <formula>$B68="/"</formula>
    </cfRule>
    <cfRule type="expression" dxfId="543" priority="6">
      <formula>$B68="No evidence required at this submission stage"</formula>
    </cfRule>
  </conditionalFormatting>
  <conditionalFormatting sqref="H99:I99">
    <cfRule type="expression" dxfId="542" priority="4">
      <formula>$B99="No evidence required at this submission stage"</formula>
    </cfRule>
  </conditionalFormatting>
  <conditionalFormatting sqref="H100:I100">
    <cfRule type="expression" dxfId="541" priority="3">
      <formula>$B100="No evidence required at this submission stage"</formula>
    </cfRule>
  </conditionalFormatting>
  <conditionalFormatting sqref="G99:I100">
    <cfRule type="expression" dxfId="540" priority="1">
      <formula>$B99="/"</formula>
    </cfRule>
    <cfRule type="expression" dxfId="539" priority="2">
      <formula>$B99="No evidence required at this submission stage"</formula>
    </cfRule>
  </conditionalFormatting>
  <dataValidations count="4">
    <dataValidation type="list" allowBlank="1" showInputMessage="1" showErrorMessage="1" sqref="G64:G65 G68:G69 G99:G100">
      <formula1>"Select,Submitted,Not submitted"</formula1>
    </dataValidation>
    <dataValidation type="list" allowBlank="1" showInputMessage="1" showErrorMessage="1" sqref="F32:F36">
      <formula1>"Select,Yes,No,N/A"</formula1>
    </dataValidation>
    <dataValidation type="list" allowBlank="1" showInputMessage="1" showErrorMessage="1" sqref="F52:F54 G89:G92">
      <formula1>"Select,Yes,No"</formula1>
    </dataValidation>
    <dataValidation type="list" allowBlank="1" showInputMessage="1" showErrorMessage="1" sqref="D11">
      <formula1>"Select,Option A,Option B"</formula1>
    </dataValidation>
  </dataValidations>
  <hyperlinks>
    <hyperlink ref="K4" location="'E-3 Energy Efficient Appliances'!B3" tooltip="E-3" display="E-3"/>
    <hyperlink ref="K2" location="'E-1 Space cooling'!B3" tooltip="E-1" display="E-1"/>
    <hyperlink ref="K3" location="'E-2 Artificial Lighting'!B3" tooltip="E-2" display="E-2"/>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563C1"/>
  </sheetPr>
  <dimension ref="A1:Q30"/>
  <sheetViews>
    <sheetView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7109375" customWidth="1"/>
    <col min="3" max="3" width="3.5703125" customWidth="1"/>
    <col min="4" max="4" width="11.140625" customWidth="1"/>
    <col min="5" max="5" width="20.5703125" customWidth="1"/>
    <col min="6" max="6" width="21.5703125" customWidth="1"/>
    <col min="7" max="8" width="19.7109375" customWidth="1"/>
    <col min="9" max="10" width="8" customWidth="1"/>
    <col min="11" max="12" width="4.7109375" customWidth="1"/>
    <col min="13" max="17" width="0" hidden="1" customWidth="1"/>
    <col min="18" max="16384" width="9.140625" hidden="1"/>
  </cols>
  <sheetData>
    <row r="1" spans="1:12" ht="17.25" customHeight="1" x14ac:dyDescent="0.25">
      <c r="A1" s="215"/>
      <c r="B1" s="1817" t="s">
        <v>16</v>
      </c>
      <c r="C1" s="216"/>
      <c r="D1" s="193"/>
      <c r="E1" s="197"/>
      <c r="F1" s="197"/>
      <c r="G1" s="197"/>
      <c r="H1" s="194"/>
      <c r="I1" s="194"/>
      <c r="J1" s="194"/>
      <c r="K1" s="194"/>
      <c r="L1" s="195"/>
    </row>
    <row r="2" spans="1:12" ht="17.25" customHeight="1" x14ac:dyDescent="0.25">
      <c r="A2" s="217"/>
      <c r="B2" s="1818"/>
      <c r="C2" s="218"/>
      <c r="D2" s="196"/>
      <c r="E2" s="197"/>
      <c r="F2" s="197"/>
      <c r="G2" s="197"/>
      <c r="H2" s="197"/>
      <c r="I2" s="197"/>
      <c r="J2" s="197"/>
      <c r="K2" s="197"/>
      <c r="L2" s="198"/>
    </row>
    <row r="3" spans="1:12" ht="17.25" customHeight="1" x14ac:dyDescent="0.25">
      <c r="A3" s="217"/>
      <c r="B3" s="1818"/>
      <c r="C3" s="218"/>
      <c r="D3" s="196"/>
      <c r="E3" s="197"/>
      <c r="F3" s="197"/>
      <c r="G3" s="197"/>
      <c r="H3" s="197"/>
      <c r="I3" s="197"/>
      <c r="J3" s="197"/>
      <c r="K3" s="197"/>
      <c r="L3" s="198"/>
    </row>
    <row r="4" spans="1:12" ht="17.25" customHeight="1" x14ac:dyDescent="0.25">
      <c r="A4" s="217"/>
      <c r="B4" s="1818"/>
      <c r="C4" s="218"/>
      <c r="D4" s="196"/>
      <c r="E4" s="196"/>
      <c r="F4" s="197"/>
      <c r="G4" s="197"/>
      <c r="H4" s="197"/>
      <c r="I4" s="197"/>
      <c r="J4" s="197"/>
      <c r="K4" s="197"/>
      <c r="L4" s="198"/>
    </row>
    <row r="5" spans="1:12" ht="15" customHeight="1" x14ac:dyDescent="0.25">
      <c r="A5" s="217"/>
      <c r="B5" s="1819" t="s">
        <v>1800</v>
      </c>
      <c r="C5" s="219"/>
      <c r="D5" s="196"/>
      <c r="E5" s="1822" t="s">
        <v>369</v>
      </c>
      <c r="F5" s="1822"/>
      <c r="G5" s="1816" t="s">
        <v>360</v>
      </c>
      <c r="H5" s="197"/>
      <c r="I5" s="197"/>
      <c r="J5" s="197"/>
      <c r="K5" s="197"/>
      <c r="L5" s="198"/>
    </row>
    <row r="6" spans="1:12" ht="15" customHeight="1" x14ac:dyDescent="0.25">
      <c r="A6" s="217"/>
      <c r="B6" s="1819"/>
      <c r="C6" s="219"/>
      <c r="D6" s="196"/>
      <c r="E6" s="1822"/>
      <c r="F6" s="1822"/>
      <c r="G6" s="1816"/>
      <c r="H6" s="197"/>
      <c r="I6" s="197"/>
      <c r="J6" s="197"/>
      <c r="K6" s="197"/>
      <c r="L6" s="198"/>
    </row>
    <row r="7" spans="1:12" ht="24" customHeight="1" x14ac:dyDescent="0.25">
      <c r="A7" s="217"/>
      <c r="B7" s="1819"/>
      <c r="C7" s="219"/>
      <c r="D7" s="196"/>
      <c r="E7" s="1823" t="s">
        <v>349</v>
      </c>
      <c r="F7" s="1823"/>
      <c r="G7" s="104" t="str">
        <f>'W-PR-1 &amp; W-1 Efficient Fixtures'!G14</f>
        <v>No</v>
      </c>
      <c r="H7" s="197"/>
      <c r="I7" s="197"/>
      <c r="J7" s="197"/>
      <c r="K7" s="197"/>
      <c r="L7" s="198"/>
    </row>
    <row r="8" spans="1:12" ht="24.75" customHeight="1" x14ac:dyDescent="0.25">
      <c r="A8" s="217"/>
      <c r="B8" s="1819"/>
      <c r="C8" s="219"/>
      <c r="D8" s="196"/>
      <c r="E8" s="197"/>
      <c r="F8" s="197"/>
      <c r="G8" s="197"/>
      <c r="H8" s="197"/>
      <c r="I8" s="197"/>
      <c r="J8" s="197"/>
      <c r="K8" s="197"/>
      <c r="L8" s="198"/>
    </row>
    <row r="9" spans="1:12" ht="15" customHeight="1" x14ac:dyDescent="0.25">
      <c r="A9" s="220"/>
      <c r="B9" s="1819"/>
      <c r="C9" s="219"/>
      <c r="D9" s="196"/>
      <c r="E9" s="1822" t="s">
        <v>136</v>
      </c>
      <c r="F9" s="1822"/>
      <c r="G9" s="1816" t="s">
        <v>137</v>
      </c>
      <c r="H9" s="1816" t="s">
        <v>19</v>
      </c>
      <c r="I9" s="197"/>
      <c r="J9" s="197"/>
      <c r="K9" s="197"/>
      <c r="L9" s="198"/>
    </row>
    <row r="10" spans="1:12" ht="15" customHeight="1" x14ac:dyDescent="0.25">
      <c r="A10" s="220"/>
      <c r="B10" s="1819"/>
      <c r="C10" s="219"/>
      <c r="D10" s="196"/>
      <c r="E10" s="1822"/>
      <c r="F10" s="1822"/>
      <c r="G10" s="1816"/>
      <c r="H10" s="1816"/>
      <c r="I10" s="197"/>
      <c r="J10" s="197"/>
      <c r="K10" s="197"/>
      <c r="L10" s="198"/>
    </row>
    <row r="11" spans="1:12" ht="24" customHeight="1" x14ac:dyDescent="0.25">
      <c r="A11" s="220"/>
      <c r="B11" s="1819"/>
      <c r="C11" s="219"/>
      <c r="D11" s="196"/>
      <c r="E11" s="1823" t="s">
        <v>17</v>
      </c>
      <c r="F11" s="1823"/>
      <c r="G11" s="104">
        <v>5</v>
      </c>
      <c r="H11" s="104">
        <f>'W-PR-1 &amp; W-1 Efficient Fixtures'!L26</f>
        <v>0</v>
      </c>
      <c r="I11" s="197"/>
      <c r="J11" s="197"/>
      <c r="K11" s="197"/>
      <c r="L11" s="198"/>
    </row>
    <row r="12" spans="1:12" ht="24" customHeight="1" x14ac:dyDescent="0.25">
      <c r="A12" s="220"/>
      <c r="B12" s="221"/>
      <c r="C12" s="222"/>
      <c r="D12" s="196"/>
      <c r="E12" s="1823" t="s">
        <v>351</v>
      </c>
      <c r="F12" s="1823"/>
      <c r="G12" s="104">
        <v>1</v>
      </c>
      <c r="H12" s="104">
        <f>'W-2 Drinking Water '!G12</f>
        <v>0</v>
      </c>
      <c r="I12" s="197"/>
      <c r="J12" s="197"/>
      <c r="K12" s="197"/>
      <c r="L12" s="198"/>
    </row>
    <row r="13" spans="1:12" ht="26.25" customHeight="1" x14ac:dyDescent="0.25">
      <c r="A13" s="220"/>
      <c r="B13" s="221"/>
      <c r="C13" s="222"/>
      <c r="D13" s="196"/>
      <c r="E13" s="79" t="s">
        <v>29</v>
      </c>
      <c r="F13" s="77"/>
      <c r="G13" s="78">
        <f>SUM(G11:G12)</f>
        <v>6</v>
      </c>
      <c r="H13" s="78">
        <f>SUM(H11:H12)</f>
        <v>0</v>
      </c>
      <c r="I13" s="197"/>
      <c r="J13" s="197"/>
      <c r="K13" s="197"/>
      <c r="L13" s="198"/>
    </row>
    <row r="14" spans="1:12" ht="15" customHeight="1" x14ac:dyDescent="0.25">
      <c r="A14" s="220"/>
      <c r="B14" s="221"/>
      <c r="C14" s="222"/>
      <c r="D14" s="196"/>
      <c r="E14" s="197"/>
      <c r="F14" s="197"/>
      <c r="G14" s="197"/>
      <c r="H14" s="197"/>
      <c r="I14" s="197"/>
      <c r="J14" s="197"/>
      <c r="K14" s="197"/>
      <c r="L14" s="198"/>
    </row>
    <row r="15" spans="1:12" ht="15" customHeight="1" x14ac:dyDescent="0.25">
      <c r="A15" s="1820"/>
      <c r="B15" s="1821"/>
      <c r="C15" s="223"/>
      <c r="D15" s="199"/>
      <c r="E15" s="199"/>
      <c r="F15" s="199"/>
      <c r="G15" s="199"/>
      <c r="H15" s="199"/>
      <c r="I15" s="199"/>
      <c r="J15" s="200"/>
      <c r="K15" s="200"/>
      <c r="L15" s="201"/>
    </row>
    <row r="16" spans="1:12" ht="15" hidden="1" customHeight="1" x14ac:dyDescent="0.25">
      <c r="E16" s="197"/>
      <c r="F16" s="197"/>
      <c r="G16" s="197"/>
      <c r="H16" s="197"/>
    </row>
    <row r="17" spans="5:8" ht="15" hidden="1" customHeight="1" x14ac:dyDescent="0.25">
      <c r="E17" s="199"/>
      <c r="F17" s="199"/>
      <c r="G17" s="199"/>
      <c r="H17" s="199"/>
    </row>
    <row r="18" spans="5:8" ht="15" hidden="1" customHeight="1" x14ac:dyDescent="0.25">
      <c r="E18" s="200"/>
      <c r="F18" s="200"/>
      <c r="G18" s="200"/>
      <c r="H18" s="200"/>
    </row>
    <row r="19" spans="5:8" ht="15" hidden="1" customHeight="1" x14ac:dyDescent="0.25"/>
    <row r="20" spans="5:8" ht="15" hidden="1" customHeight="1" x14ac:dyDescent="0.25"/>
    <row r="21" spans="5:8" ht="15" hidden="1" customHeight="1" x14ac:dyDescent="0.25"/>
    <row r="22" spans="5:8" ht="15" hidden="1" customHeight="1" x14ac:dyDescent="0.25"/>
    <row r="23" spans="5:8" ht="15" hidden="1" customHeight="1" x14ac:dyDescent="0.25"/>
    <row r="24" spans="5:8" ht="15" hidden="1" customHeight="1" x14ac:dyDescent="0.25"/>
    <row r="25" spans="5:8" ht="15" hidden="1" customHeight="1" x14ac:dyDescent="0.25"/>
    <row r="26" spans="5:8" ht="15" hidden="1" customHeight="1" x14ac:dyDescent="0.25"/>
    <row r="27" spans="5:8" ht="0" hidden="1" customHeight="1" x14ac:dyDescent="0.25"/>
    <row r="28" spans="5:8" ht="0" hidden="1" customHeight="1" x14ac:dyDescent="0.25"/>
    <row r="29" spans="5:8" ht="0" hidden="1" customHeight="1" x14ac:dyDescent="0.25"/>
    <row r="30" spans="5:8" ht="0" hidden="1" customHeight="1" x14ac:dyDescent="0.25"/>
  </sheetData>
  <sheetProtection algorithmName="SHA-512" hashValue="7VWiHrHNXvdda7BS0EwzukfKnXiBFh8irFcevaNZEDkIBOT/0rqMJvRVzTzIXI3EzxE4KHETZJpvsU0a3BdLyg==" saltValue="d1ROI6G1Ai1RQ77WMSKcag==" spinCount="100000" sheet="1" objects="1" scenarios="1"/>
  <mergeCells count="11">
    <mergeCell ref="H9:H10"/>
    <mergeCell ref="B1:B4"/>
    <mergeCell ref="B5:B11"/>
    <mergeCell ref="A15:B15"/>
    <mergeCell ref="E9:F10"/>
    <mergeCell ref="E11:F11"/>
    <mergeCell ref="E12:F12"/>
    <mergeCell ref="G9:G10"/>
    <mergeCell ref="E5:F6"/>
    <mergeCell ref="G5:G6"/>
    <mergeCell ref="E7:F7"/>
  </mergeCells>
  <hyperlinks>
    <hyperlink ref="E12:F12" location="'W-2 Drinking Water '!D3" tooltip="W-2 Drinking Water" display="W-2 Drinking Water"/>
    <hyperlink ref="E7:F7" location="'W-PR-1 &amp; W-1 Efficient Fixtures'!B3" tooltip="W-PR-1 Water Efficient Fixtures" display="W-PR-1 Water Efficient Fixtures"/>
    <hyperlink ref="E11:F11" location="'W-PR-1 &amp; W-1 Efficient Fixtures'!B3" tooltip="W-1 Water Efficient Fixtures" display="W-1 Water Efficient Fixtures"/>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6"/>
  <sheetViews>
    <sheetView showRowColHeaders="0" tabSelected="1" workbookViewId="0">
      <selection activeCell="G9" sqref="G9"/>
    </sheetView>
  </sheetViews>
  <sheetFormatPr defaultColWidth="0" defaultRowHeight="15" zeroHeight="1" x14ac:dyDescent="0.25"/>
  <cols>
    <col min="1" max="4" width="9.7109375" customWidth="1"/>
    <col min="5" max="13" width="9.140625" customWidth="1"/>
    <col min="14" max="14" width="8.140625" customWidth="1"/>
    <col min="15" max="15" width="0" hidden="1" customWidth="1"/>
    <col min="16" max="16384" width="9.140625" hidden="1"/>
  </cols>
  <sheetData>
    <row r="1" spans="1:14" x14ac:dyDescent="0.25">
      <c r="A1" s="36"/>
      <c r="B1" s="36"/>
      <c r="C1" s="36"/>
      <c r="D1" s="36"/>
      <c r="E1" s="36"/>
      <c r="F1" s="36"/>
      <c r="G1" s="36"/>
      <c r="H1" s="36"/>
      <c r="I1" s="36"/>
      <c r="J1" s="36"/>
      <c r="K1" s="36"/>
      <c r="L1" s="36"/>
      <c r="M1" s="36"/>
      <c r="N1" s="36"/>
    </row>
    <row r="2" spans="1:14" x14ac:dyDescent="0.25">
      <c r="A2" s="36"/>
      <c r="B2" s="36"/>
      <c r="C2" s="36"/>
      <c r="D2" s="36"/>
      <c r="E2" s="36"/>
      <c r="F2" s="36"/>
      <c r="G2" s="36"/>
      <c r="H2" s="36"/>
      <c r="I2" s="36"/>
      <c r="J2" s="36"/>
      <c r="K2" s="36"/>
      <c r="L2" s="36"/>
      <c r="M2" s="36"/>
      <c r="N2" s="36"/>
    </row>
    <row r="3" spans="1:14" x14ac:dyDescent="0.25">
      <c r="A3" s="36"/>
      <c r="B3" s="36"/>
      <c r="C3" s="36"/>
      <c r="D3" s="36"/>
      <c r="E3" s="36"/>
      <c r="F3" s="36"/>
      <c r="G3" s="36"/>
      <c r="H3" s="36"/>
      <c r="I3" s="36"/>
      <c r="J3" s="36"/>
      <c r="K3" s="36"/>
      <c r="L3" s="36"/>
      <c r="M3" s="36"/>
      <c r="N3" s="36"/>
    </row>
    <row r="4" spans="1:14" x14ac:dyDescent="0.25">
      <c r="A4" s="36"/>
      <c r="B4" s="36"/>
      <c r="C4" s="36"/>
      <c r="D4" s="36"/>
      <c r="E4" s="36"/>
      <c r="F4" s="36"/>
      <c r="G4" s="36"/>
      <c r="H4" s="36"/>
      <c r="I4" s="36"/>
      <c r="J4" s="36"/>
      <c r="K4" s="36"/>
      <c r="L4" s="36"/>
      <c r="M4" s="36"/>
      <c r="N4" s="36"/>
    </row>
    <row r="5" spans="1:14" x14ac:dyDescent="0.25">
      <c r="A5" s="36"/>
      <c r="B5" s="36"/>
      <c r="C5" s="36"/>
      <c r="D5" s="36"/>
      <c r="E5" s="36"/>
      <c r="F5" s="36"/>
      <c r="G5" s="36"/>
      <c r="H5" s="36"/>
      <c r="I5" s="36"/>
      <c r="J5" s="36"/>
      <c r="K5" s="36"/>
      <c r="L5" s="36"/>
      <c r="M5" s="36"/>
      <c r="N5" s="36"/>
    </row>
    <row r="6" spans="1:14" ht="10.5" customHeight="1" x14ac:dyDescent="0.25">
      <c r="A6" s="36"/>
      <c r="B6" s="36"/>
      <c r="C6" s="36"/>
      <c r="D6" s="36"/>
      <c r="E6" s="36"/>
      <c r="F6" s="36"/>
      <c r="G6" s="36"/>
      <c r="H6" s="36"/>
      <c r="I6" s="36"/>
      <c r="J6" s="36"/>
      <c r="K6" s="36"/>
      <c r="L6" s="36"/>
      <c r="M6" s="36"/>
      <c r="N6" s="36"/>
    </row>
    <row r="7" spans="1:14" x14ac:dyDescent="0.25">
      <c r="A7" s="36"/>
      <c r="B7" s="36"/>
      <c r="C7" s="36"/>
      <c r="D7" s="36"/>
      <c r="E7" s="36"/>
      <c r="F7" s="36"/>
      <c r="G7" s="36"/>
      <c r="H7" s="36"/>
      <c r="I7" s="36"/>
      <c r="J7" s="36"/>
      <c r="K7" s="36"/>
      <c r="L7" s="36"/>
      <c r="M7" s="36"/>
      <c r="N7" s="36"/>
    </row>
    <row r="8" spans="1:14" x14ac:dyDescent="0.25">
      <c r="A8" s="36"/>
      <c r="B8" s="36"/>
      <c r="C8" s="36"/>
      <c r="D8" s="36"/>
      <c r="E8" s="36"/>
      <c r="F8" s="36"/>
      <c r="G8" s="36"/>
      <c r="H8" s="36"/>
      <c r="I8" s="36"/>
      <c r="J8" s="36"/>
      <c r="K8" s="36"/>
      <c r="L8" s="36"/>
      <c r="M8" s="36"/>
      <c r="N8" s="36"/>
    </row>
    <row r="9" spans="1:14" x14ac:dyDescent="0.25">
      <c r="A9" s="36"/>
      <c r="B9" s="36"/>
      <c r="C9" s="36"/>
      <c r="D9" s="36"/>
      <c r="E9" s="36"/>
      <c r="F9" s="36"/>
      <c r="G9" s="36"/>
      <c r="H9" s="36"/>
      <c r="I9" s="36"/>
      <c r="J9" s="36"/>
      <c r="K9" s="36"/>
      <c r="L9" s="36"/>
      <c r="M9" s="36"/>
      <c r="N9" s="36"/>
    </row>
    <row r="10" spans="1:14" x14ac:dyDescent="0.25">
      <c r="A10" s="36"/>
      <c r="B10" s="36"/>
      <c r="C10" s="36"/>
      <c r="D10" s="36"/>
      <c r="E10" s="36"/>
      <c r="F10" s="36"/>
      <c r="G10" s="36"/>
      <c r="H10" s="36"/>
      <c r="I10" s="36"/>
      <c r="J10" s="36"/>
      <c r="K10" s="36"/>
      <c r="L10" s="36"/>
      <c r="M10" s="36"/>
      <c r="N10" s="36"/>
    </row>
    <row r="11" spans="1:14" x14ac:dyDescent="0.25">
      <c r="A11" s="36"/>
      <c r="B11" s="36"/>
      <c r="C11" s="36"/>
      <c r="D11" s="36"/>
      <c r="E11" s="36"/>
      <c r="F11" s="36"/>
      <c r="G11" s="36"/>
      <c r="H11" s="36"/>
      <c r="I11" s="36"/>
      <c r="J11" s="36"/>
      <c r="K11" s="36"/>
      <c r="L11" s="36"/>
      <c r="M11" s="36"/>
      <c r="N11" s="36"/>
    </row>
    <row r="12" spans="1:14" x14ac:dyDescent="0.25">
      <c r="A12" s="36"/>
      <c r="B12" s="36"/>
      <c r="C12" s="36"/>
      <c r="D12" s="36"/>
      <c r="E12" s="36"/>
      <c r="F12" s="36"/>
      <c r="G12" s="36"/>
      <c r="H12" s="36"/>
      <c r="I12" s="36"/>
      <c r="J12" s="36"/>
      <c r="K12" s="36"/>
      <c r="L12" s="36"/>
      <c r="M12" s="36"/>
      <c r="N12" s="36"/>
    </row>
    <row r="13" spans="1:14" x14ac:dyDescent="0.25">
      <c r="A13" s="36"/>
      <c r="B13" s="36"/>
      <c r="C13" s="36"/>
      <c r="D13" s="36"/>
      <c r="E13" s="36"/>
      <c r="F13" s="36"/>
      <c r="G13" s="36"/>
      <c r="H13" s="36"/>
      <c r="I13" s="36"/>
      <c r="J13" s="36"/>
      <c r="K13" s="36"/>
      <c r="L13" s="36"/>
      <c r="M13" s="36"/>
      <c r="N13" s="36"/>
    </row>
    <row r="14" spans="1:14" s="443" customFormat="1" ht="2.25" customHeight="1" x14ac:dyDescent="0.55000000000000004"/>
    <row r="15" spans="1:14" s="1365" customFormat="1" ht="36.75" customHeight="1" x14ac:dyDescent="0.7">
      <c r="A15" s="1365" t="s">
        <v>1197</v>
      </c>
    </row>
    <row r="16" spans="1:14" x14ac:dyDescent="0.25">
      <c r="A16" s="36"/>
      <c r="B16" s="36"/>
      <c r="C16" s="36"/>
      <c r="D16" s="36"/>
      <c r="E16" s="36"/>
      <c r="F16" s="36"/>
      <c r="G16" s="36"/>
      <c r="H16" s="36"/>
      <c r="I16" s="36"/>
      <c r="J16" s="36"/>
      <c r="K16" s="36"/>
      <c r="L16" s="36"/>
      <c r="M16" s="36"/>
      <c r="N16" s="36"/>
    </row>
    <row r="17" spans="1:14" x14ac:dyDescent="0.25">
      <c r="A17" s="36"/>
      <c r="B17" s="36"/>
      <c r="C17" s="36"/>
      <c r="D17" s="36"/>
      <c r="E17" s="36"/>
      <c r="F17" s="36"/>
      <c r="G17" s="36"/>
      <c r="H17" s="36"/>
      <c r="I17" s="36"/>
      <c r="J17" s="36"/>
      <c r="K17" s="36"/>
      <c r="L17" s="36"/>
      <c r="M17" s="36"/>
      <c r="N17" s="36"/>
    </row>
    <row r="18" spans="1:14" x14ac:dyDescent="0.25">
      <c r="A18" s="36"/>
      <c r="B18" s="36"/>
      <c r="C18" s="36"/>
      <c r="D18" s="36"/>
      <c r="E18" s="36"/>
      <c r="F18" s="36"/>
      <c r="G18" s="36"/>
      <c r="H18" s="36"/>
      <c r="I18" s="36"/>
      <c r="J18" s="36"/>
      <c r="K18" s="36"/>
      <c r="L18" s="36"/>
      <c r="M18" s="36"/>
      <c r="N18" s="36"/>
    </row>
    <row r="19" spans="1:14" x14ac:dyDescent="0.25">
      <c r="A19" s="36"/>
      <c r="B19" s="36"/>
      <c r="C19" s="36"/>
      <c r="D19" s="36"/>
      <c r="E19" s="36"/>
      <c r="F19" s="36"/>
      <c r="G19" s="36"/>
      <c r="H19" s="36"/>
      <c r="I19" s="36"/>
      <c r="J19" s="36"/>
      <c r="K19" s="36"/>
      <c r="L19" s="36"/>
      <c r="M19" s="36"/>
      <c r="N19" s="36"/>
    </row>
    <row r="20" spans="1:14" x14ac:dyDescent="0.25">
      <c r="A20" s="36"/>
      <c r="B20" s="36"/>
      <c r="C20" s="36"/>
      <c r="D20" s="36"/>
      <c r="E20" s="36"/>
      <c r="F20" s="36"/>
      <c r="G20" s="36"/>
      <c r="H20" s="36"/>
      <c r="I20" s="36"/>
      <c r="J20" s="36"/>
      <c r="K20" s="36"/>
      <c r="L20" s="36"/>
      <c r="M20" s="36"/>
      <c r="N20" s="36"/>
    </row>
    <row r="21" spans="1:14" x14ac:dyDescent="0.25">
      <c r="A21" s="36"/>
      <c r="B21" s="36"/>
      <c r="C21" s="36"/>
      <c r="D21" s="36"/>
      <c r="E21" s="36"/>
      <c r="F21" s="36"/>
      <c r="G21" s="36"/>
      <c r="H21" s="36"/>
      <c r="I21" s="36"/>
      <c r="J21" s="36"/>
      <c r="K21" s="36"/>
      <c r="L21" s="36"/>
      <c r="M21" s="36"/>
      <c r="N21" s="36"/>
    </row>
    <row r="22" spans="1:14" x14ac:dyDescent="0.25">
      <c r="A22" s="36"/>
      <c r="B22" s="36"/>
      <c r="C22" s="36"/>
      <c r="D22" s="36"/>
      <c r="E22" s="36"/>
      <c r="F22" s="36"/>
      <c r="G22" s="36"/>
      <c r="H22" s="36"/>
      <c r="I22" s="36"/>
      <c r="J22" s="36"/>
      <c r="K22" s="36"/>
      <c r="L22" s="36"/>
      <c r="M22" s="36"/>
      <c r="N22" s="36"/>
    </row>
    <row r="23" spans="1:14" x14ac:dyDescent="0.25">
      <c r="A23" s="36"/>
      <c r="B23" s="36"/>
      <c r="C23" s="36"/>
      <c r="D23" s="36"/>
      <c r="E23" s="36"/>
      <c r="F23" s="36"/>
      <c r="G23" s="36"/>
      <c r="H23" s="36"/>
      <c r="I23" s="36"/>
      <c r="J23" s="36"/>
      <c r="K23" s="36"/>
      <c r="L23" s="36"/>
      <c r="M23" s="36"/>
      <c r="N23" s="36"/>
    </row>
    <row r="24" spans="1:14" x14ac:dyDescent="0.25">
      <c r="A24" s="36"/>
      <c r="B24" s="36"/>
      <c r="C24" s="36"/>
      <c r="D24" s="36"/>
      <c r="E24" s="36"/>
      <c r="F24" s="36"/>
      <c r="G24" s="36"/>
      <c r="H24" s="36"/>
      <c r="I24" s="36"/>
      <c r="J24" s="36"/>
      <c r="K24" s="36"/>
      <c r="L24" s="36"/>
      <c r="M24" s="36"/>
      <c r="N24" s="36"/>
    </row>
    <row r="25" spans="1:14" ht="6" customHeight="1" x14ac:dyDescent="0.25">
      <c r="A25" s="36"/>
      <c r="B25" s="36"/>
      <c r="C25" s="36"/>
      <c r="D25" s="36"/>
      <c r="E25" s="36"/>
      <c r="F25" s="36"/>
      <c r="G25" s="36"/>
      <c r="H25" s="36"/>
      <c r="I25" s="36"/>
      <c r="J25" s="36"/>
      <c r="K25" s="36"/>
      <c r="L25" s="36"/>
      <c r="M25" s="36"/>
      <c r="N25" s="36"/>
    </row>
    <row r="26" spans="1:14" ht="14.25" customHeight="1" x14ac:dyDescent="0.25">
      <c r="A26" s="1366" t="s">
        <v>2860</v>
      </c>
      <c r="B26" s="1366"/>
      <c r="C26" s="1366"/>
      <c r="D26" s="1366"/>
      <c r="E26" s="1366"/>
      <c r="F26" s="1366"/>
      <c r="G26" s="1366"/>
      <c r="H26" s="1366"/>
      <c r="I26" s="1366"/>
      <c r="J26" s="1366"/>
      <c r="K26" s="1366"/>
      <c r="L26" s="1366"/>
      <c r="M26" s="1366"/>
      <c r="N26" s="1366"/>
    </row>
    <row r="27" spans="1:14" ht="72" customHeight="1" x14ac:dyDescent="0.25">
      <c r="A27" s="41"/>
      <c r="B27" s="442"/>
      <c r="C27" s="442"/>
      <c r="D27" s="442"/>
      <c r="E27" s="442"/>
      <c r="F27" s="442"/>
      <c r="G27" s="442"/>
      <c r="H27" s="442"/>
      <c r="I27" s="442"/>
      <c r="J27" s="442"/>
      <c r="K27" s="442"/>
      <c r="L27" s="442"/>
      <c r="M27" s="442"/>
      <c r="N27" s="442"/>
    </row>
    <row r="28" spans="1:14" hidden="1" x14ac:dyDescent="0.25"/>
    <row r="29" spans="1:14" hidden="1" x14ac:dyDescent="0.25"/>
    <row r="30" spans="1:14" hidden="1" x14ac:dyDescent="0.25"/>
    <row r="31" spans="1:14" hidden="1" x14ac:dyDescent="0.25"/>
    <row r="32" spans="1:1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algorithmName="SHA-512" hashValue="z4wH3Gl3tUM3no+yli3CI8oA+m/7OFFIPlOHsprYvFyuTEtCSLlZmT/Z3GscvXzacO8kNoSCgaR4lD5PmS5Evg==" saltValue="qx4i2Or2U+gCE/oPKi3lmg==" spinCount="100000" sheet="1" objects="1" scenarios="1" selectLockedCells="1" selectUnlockedCells="1"/>
  <mergeCells count="2">
    <mergeCell ref="A15:XFD15"/>
    <mergeCell ref="A26:N26"/>
  </mergeCells>
  <pageMargins left="0.7" right="0.7" top="0.75" bottom="0.75" header="0.3" footer="0.3"/>
  <pageSetup orientation="portrait" horizontalDpi="30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563C1"/>
  </sheetPr>
  <dimension ref="A1:S492"/>
  <sheetViews>
    <sheetView showRowColHeaders="0" workbookViewId="0">
      <pane ySplit="8" topLeftCell="A9" activePane="bottomLeft" state="frozen"/>
      <selection pane="bottomLeft" activeCell="B11" sqref="B11:E11"/>
    </sheetView>
  </sheetViews>
  <sheetFormatPr defaultColWidth="0" defaultRowHeight="15" zeroHeight="1" x14ac:dyDescent="0.25"/>
  <cols>
    <col min="1" max="1" width="5" style="37" customWidth="1"/>
    <col min="2" max="2" width="21" style="37" customWidth="1"/>
    <col min="3" max="3" width="20.28515625" style="37" customWidth="1"/>
    <col min="4" max="4" width="16.7109375" style="37" customWidth="1"/>
    <col min="5" max="5" width="16.85546875" style="37" customWidth="1"/>
    <col min="6" max="6" width="20.28515625" style="37" customWidth="1"/>
    <col min="7" max="7" width="21.28515625" style="37" customWidth="1"/>
    <col min="8" max="8" width="20.85546875" style="37" customWidth="1"/>
    <col min="9" max="9" width="20.42578125" style="37" customWidth="1"/>
    <col min="10" max="10" width="15.7109375" style="37" customWidth="1"/>
    <col min="11" max="11" width="9" style="37" customWidth="1"/>
    <col min="12" max="12" width="10.5703125" style="37" hidden="1" customWidth="1"/>
    <col min="13" max="13" width="38.85546875" style="37" hidden="1" customWidth="1"/>
    <col min="14" max="14" width="14.85546875" style="37" hidden="1" customWidth="1"/>
    <col min="15" max="19" width="13.85546875" style="37" hidden="1" customWidth="1"/>
    <col min="20" max="16384" width="9.140625" style="37" hidden="1"/>
  </cols>
  <sheetData>
    <row r="1" spans="1:11" ht="23.25" x14ac:dyDescent="0.25">
      <c r="A1" s="1892" t="s">
        <v>370</v>
      </c>
      <c r="B1" s="1892"/>
      <c r="C1" s="1892"/>
      <c r="D1" s="1892"/>
      <c r="E1" s="1892"/>
      <c r="F1" s="1892"/>
      <c r="G1" s="1892"/>
      <c r="H1" s="1892"/>
      <c r="I1" s="1892"/>
      <c r="J1" s="1892"/>
      <c r="K1" s="1892"/>
    </row>
    <row r="2" spans="1:11" ht="15" customHeight="1" x14ac:dyDescent="0.25">
      <c r="A2" s="49"/>
      <c r="B2" s="49"/>
      <c r="C2" s="49"/>
      <c r="D2" s="49"/>
      <c r="E2" s="49"/>
      <c r="F2" s="49"/>
      <c r="G2" s="48"/>
      <c r="H2" s="1694" t="s">
        <v>1775</v>
      </c>
      <c r="I2" s="1694"/>
      <c r="J2" s="1694"/>
      <c r="K2" s="133"/>
    </row>
    <row r="3" spans="1:11" ht="15" customHeight="1" x14ac:dyDescent="0.25">
      <c r="A3" s="49"/>
      <c r="B3" s="49"/>
      <c r="C3" s="49"/>
      <c r="D3" s="49"/>
      <c r="E3" s="49"/>
      <c r="F3" s="49"/>
      <c r="G3" s="48"/>
      <c r="H3" s="1694"/>
      <c r="I3" s="1694"/>
      <c r="J3" s="1694"/>
      <c r="K3" s="133" t="s">
        <v>36</v>
      </c>
    </row>
    <row r="4" spans="1:11" ht="15" customHeight="1" x14ac:dyDescent="0.25">
      <c r="A4" s="49"/>
      <c r="B4" s="49"/>
      <c r="C4" s="49"/>
      <c r="D4" s="49"/>
      <c r="E4" s="49"/>
      <c r="F4" s="49"/>
      <c r="G4" s="48"/>
      <c r="H4" s="1695"/>
      <c r="I4" s="1695"/>
      <c r="J4" s="1695"/>
      <c r="K4" s="133"/>
    </row>
    <row r="5" spans="1:11" ht="25.5" customHeight="1" x14ac:dyDescent="0.25">
      <c r="A5" s="1704" t="s">
        <v>2569</v>
      </c>
      <c r="B5" s="1705"/>
      <c r="C5" s="1705"/>
      <c r="D5" s="1705"/>
      <c r="E5" s="1705"/>
      <c r="F5" s="1705"/>
      <c r="G5" s="1705"/>
      <c r="H5" s="1705"/>
      <c r="I5" s="1705"/>
      <c r="J5" s="1705"/>
      <c r="K5" s="1706"/>
    </row>
    <row r="6" spans="1:11" ht="25.5" customHeight="1" x14ac:dyDescent="0.25">
      <c r="A6" s="1707"/>
      <c r="B6" s="1708"/>
      <c r="C6" s="1708"/>
      <c r="D6" s="1708"/>
      <c r="E6" s="1708"/>
      <c r="F6" s="1708"/>
      <c r="G6" s="1708"/>
      <c r="H6" s="1708"/>
      <c r="I6" s="1708"/>
      <c r="J6" s="1708"/>
      <c r="K6" s="1709"/>
    </row>
    <row r="7" spans="1:11" ht="25.5" customHeight="1" x14ac:dyDescent="0.25">
      <c r="A7" s="1710"/>
      <c r="B7" s="1711"/>
      <c r="C7" s="1711"/>
      <c r="D7" s="1711"/>
      <c r="E7" s="1711"/>
      <c r="F7" s="1711"/>
      <c r="G7" s="1711"/>
      <c r="H7" s="1711"/>
      <c r="I7" s="1711"/>
      <c r="J7" s="1711"/>
      <c r="K7" s="1712"/>
    </row>
    <row r="8" spans="1:11" ht="12" customHeight="1" x14ac:dyDescent="0.25">
      <c r="A8" s="48"/>
      <c r="B8" s="49"/>
      <c r="C8" s="49"/>
      <c r="D8" s="49"/>
      <c r="E8" s="49"/>
      <c r="F8" s="48"/>
      <c r="G8" s="48"/>
      <c r="H8" s="48"/>
      <c r="I8" s="48"/>
      <c r="J8" s="48"/>
      <c r="K8" s="48"/>
    </row>
    <row r="9" spans="1:11" ht="18" customHeight="1" x14ac:dyDescent="0.25">
      <c r="A9" s="1841" t="s">
        <v>134</v>
      </c>
      <c r="B9" s="1841"/>
      <c r="C9" s="1841"/>
      <c r="D9" s="1841"/>
      <c r="E9" s="1841"/>
      <c r="F9" s="1841"/>
      <c r="G9" s="1841"/>
      <c r="H9" s="1841"/>
      <c r="I9" s="1841"/>
      <c r="J9" s="1841"/>
      <c r="K9" s="1841"/>
    </row>
    <row r="10" spans="1:11" ht="13.5" customHeight="1" x14ac:dyDescent="0.25">
      <c r="A10" s="48"/>
      <c r="B10" s="48"/>
      <c r="C10" s="48"/>
      <c r="D10" s="48"/>
      <c r="E10" s="48"/>
      <c r="F10" s="48"/>
      <c r="G10" s="48"/>
      <c r="H10" s="48"/>
      <c r="I10" s="48"/>
      <c r="J10" s="48"/>
      <c r="K10" s="48"/>
    </row>
    <row r="11" spans="1:11" ht="17.25" customHeight="1" x14ac:dyDescent="0.25">
      <c r="A11" s="48"/>
      <c r="B11" s="1844" t="str">
        <f>IF('Project information'!C7="Full Certification stage","Has the project installed water closets and/or bathroom taps within the tenant spaces ?","Will the project install water closets and/or bathroom taps within the tenant spaces ?")</f>
        <v>Will the project install water closets and/or bathroom taps within the tenant spaces ?</v>
      </c>
      <c r="C11" s="1845"/>
      <c r="D11" s="1845"/>
      <c r="E11" s="1846"/>
      <c r="F11" s="691" t="s">
        <v>62</v>
      </c>
      <c r="G11" s="798" t="str">
        <f>IF(F11="No","→ The Prerequisite is non-applicable and Option B should be followed",IF(F11="Yes","→ Option A should be followed",""))</f>
        <v/>
      </c>
      <c r="H11" s="48"/>
      <c r="I11" s="48"/>
      <c r="J11" s="48"/>
      <c r="K11" s="48"/>
    </row>
    <row r="12" spans="1:11" x14ac:dyDescent="0.25">
      <c r="A12" s="48"/>
      <c r="B12" s="48"/>
      <c r="C12" s="48"/>
      <c r="D12" s="48"/>
      <c r="E12" s="48"/>
      <c r="F12" s="48"/>
      <c r="G12" s="48"/>
      <c r="H12" s="48"/>
      <c r="I12" s="48"/>
      <c r="J12" s="48"/>
      <c r="K12" s="48"/>
    </row>
    <row r="13" spans="1:11" ht="18" customHeight="1" x14ac:dyDescent="0.25">
      <c r="A13" s="48"/>
      <c r="B13" s="1847" t="s">
        <v>359</v>
      </c>
      <c r="C13" s="1848"/>
      <c r="D13" s="1848"/>
      <c r="E13" s="1848"/>
      <c r="F13" s="1848"/>
      <c r="G13" s="454" t="s">
        <v>360</v>
      </c>
      <c r="H13" s="60" t="s">
        <v>151</v>
      </c>
      <c r="I13" s="48"/>
      <c r="J13" s="48"/>
      <c r="K13" s="48"/>
    </row>
    <row r="14" spans="1:11" ht="18" customHeight="1" x14ac:dyDescent="0.25">
      <c r="A14" s="48"/>
      <c r="B14" s="1854" t="s">
        <v>1674</v>
      </c>
      <c r="C14" s="1855"/>
      <c r="D14" s="1855"/>
      <c r="E14" s="1855"/>
      <c r="F14" s="1856"/>
      <c r="G14" s="547" t="str">
        <f>IF(F11="No","N/A",C88)</f>
        <v>No</v>
      </c>
      <c r="H14" s="548" t="str">
        <f>IF(G14="N/A","N/A",C89)</f>
        <v>No</v>
      </c>
      <c r="I14" s="48"/>
      <c r="J14" s="48"/>
      <c r="K14" s="48"/>
    </row>
    <row r="15" spans="1:11" x14ac:dyDescent="0.25">
      <c r="A15" s="48"/>
      <c r="B15" s="48"/>
      <c r="C15" s="48"/>
      <c r="D15" s="48"/>
      <c r="E15" s="48"/>
      <c r="F15" s="48"/>
      <c r="G15" s="48"/>
      <c r="H15" s="48"/>
      <c r="I15" s="48"/>
      <c r="J15" s="48"/>
      <c r="K15" s="48"/>
    </row>
    <row r="16" spans="1:11" ht="18" customHeight="1" x14ac:dyDescent="0.25">
      <c r="A16" s="48"/>
      <c r="B16" s="1847" t="s">
        <v>2088</v>
      </c>
      <c r="C16" s="1848"/>
      <c r="D16" s="1848"/>
      <c r="E16" s="1848"/>
      <c r="F16" s="1848"/>
      <c r="G16" s="454" t="s">
        <v>75</v>
      </c>
      <c r="H16" s="454" t="s">
        <v>19</v>
      </c>
      <c r="I16" s="60" t="s">
        <v>151</v>
      </c>
      <c r="J16" s="48"/>
      <c r="K16" s="48"/>
    </row>
    <row r="17" spans="1:12" ht="41.25" customHeight="1" x14ac:dyDescent="0.25">
      <c r="A17" s="48"/>
      <c r="B17" s="1780" t="s">
        <v>2089</v>
      </c>
      <c r="C17" s="1781"/>
      <c r="D17" s="1781"/>
      <c r="E17" s="1781"/>
      <c r="F17" s="1782"/>
      <c r="G17" s="65">
        <v>5</v>
      </c>
      <c r="H17" s="53" t="str">
        <f>IF(F11="Yes",C155,"/")</f>
        <v>/</v>
      </c>
      <c r="I17" s="53" t="str">
        <f>IF(F11="Yes",C156,"/")</f>
        <v>/</v>
      </c>
      <c r="J17" s="48"/>
      <c r="K17" s="48"/>
      <c r="L17" s="37" t="str">
        <f>IF(H17="/","No",IF(H17&lt;&gt;0,IF(I17="No","No","Yes"),"Yes"))</f>
        <v>No</v>
      </c>
    </row>
    <row r="18" spans="1:12" ht="28.5" customHeight="1" x14ac:dyDescent="0.25">
      <c r="A18" s="48"/>
      <c r="B18" s="1780" t="s">
        <v>1676</v>
      </c>
      <c r="C18" s="1781"/>
      <c r="D18" s="1781"/>
      <c r="E18" s="1781"/>
      <c r="F18" s="1782"/>
      <c r="G18" s="65">
        <v>1</v>
      </c>
      <c r="H18" s="320" t="str">
        <f>IF(F11="Yes",C190,"/")</f>
        <v>/</v>
      </c>
      <c r="I18" s="320" t="str">
        <f>IF(F11="Yes",C191,"/")</f>
        <v>/</v>
      </c>
      <c r="J18" s="48"/>
      <c r="K18" s="48"/>
      <c r="L18" s="37" t="str">
        <f t="shared" ref="L18:L19" si="0">IF(H18="/","No",IF(H18&lt;&gt;0,IF(I18="No","No","Yes"),"Yes"))</f>
        <v>No</v>
      </c>
    </row>
    <row r="19" spans="1:12" ht="30" customHeight="1" x14ac:dyDescent="0.25">
      <c r="A19" s="48"/>
      <c r="B19" s="1780" t="s">
        <v>1360</v>
      </c>
      <c r="C19" s="1781"/>
      <c r="D19" s="1781"/>
      <c r="E19" s="1781"/>
      <c r="F19" s="1782"/>
      <c r="G19" s="65">
        <v>1</v>
      </c>
      <c r="H19" s="320" t="str">
        <f>IF(F11="Yes",C243,"/")</f>
        <v>/</v>
      </c>
      <c r="I19" s="320" t="str">
        <f>IF(F11="Yes",C244,"/")</f>
        <v>/</v>
      </c>
      <c r="J19" s="48"/>
      <c r="K19" s="48"/>
      <c r="L19" s="37" t="str">
        <f t="shared" si="0"/>
        <v>No</v>
      </c>
    </row>
    <row r="20" spans="1:12" ht="19.5" customHeight="1" x14ac:dyDescent="0.25">
      <c r="A20" s="48"/>
      <c r="B20" s="1713" t="s">
        <v>29</v>
      </c>
      <c r="C20" s="1740"/>
      <c r="D20" s="1740"/>
      <c r="E20" s="1740"/>
      <c r="F20" s="1741"/>
      <c r="G20" s="612">
        <v>5</v>
      </c>
      <c r="H20" s="612">
        <f>IFERROR(MIN(5,H17+H18+H19),0)</f>
        <v>0</v>
      </c>
      <c r="I20" s="612" t="str">
        <f>IF(COUNTIF(I17:I19,"No")=3,"No",IF(COUNTIF(L17:L19,"Yes")=3,"Yes","No"))</f>
        <v>No</v>
      </c>
      <c r="J20" s="48"/>
      <c r="K20" s="48"/>
    </row>
    <row r="21" spans="1:12" x14ac:dyDescent="0.25">
      <c r="A21" s="48"/>
      <c r="B21" s="48"/>
      <c r="C21" s="48"/>
      <c r="D21" s="48"/>
      <c r="E21" s="48"/>
      <c r="F21" s="48"/>
      <c r="G21" s="48"/>
      <c r="H21" s="48"/>
      <c r="I21" s="48"/>
      <c r="J21" s="48"/>
      <c r="K21" s="48"/>
    </row>
    <row r="22" spans="1:12" ht="18" customHeight="1" x14ac:dyDescent="0.25">
      <c r="A22" s="48"/>
      <c r="B22" s="1847" t="s">
        <v>1691</v>
      </c>
      <c r="C22" s="1848"/>
      <c r="D22" s="1848"/>
      <c r="E22" s="1848"/>
      <c r="F22" s="1848"/>
      <c r="G22" s="454" t="s">
        <v>75</v>
      </c>
      <c r="H22" s="454" t="s">
        <v>19</v>
      </c>
      <c r="I22" s="60" t="s">
        <v>151</v>
      </c>
      <c r="J22" s="48"/>
      <c r="K22" s="48"/>
    </row>
    <row r="23" spans="1:12" ht="64.5" customHeight="1" x14ac:dyDescent="0.25">
      <c r="A23" s="48"/>
      <c r="B23" s="1780" t="s">
        <v>1677</v>
      </c>
      <c r="C23" s="1781"/>
      <c r="D23" s="1781"/>
      <c r="E23" s="1781"/>
      <c r="F23" s="1782"/>
      <c r="G23" s="65">
        <v>3</v>
      </c>
      <c r="H23" s="320" t="str">
        <f>IF(F11="No",C308,"/")</f>
        <v>/</v>
      </c>
      <c r="I23" s="320" t="str">
        <f>IF(F11="No",C309,"/")</f>
        <v>/</v>
      </c>
      <c r="J23" s="48"/>
      <c r="K23" s="48"/>
      <c r="L23" s="37" t="str">
        <f>IF(H23="/","No",IF(H23&lt;&gt;0,IF(I23="No","No","Yes"),"Yes"))</f>
        <v>No</v>
      </c>
    </row>
    <row r="24" spans="1:12" ht="30" customHeight="1" x14ac:dyDescent="0.25">
      <c r="A24" s="48"/>
      <c r="B24" s="1780" t="s">
        <v>1678</v>
      </c>
      <c r="C24" s="1781"/>
      <c r="D24" s="1781"/>
      <c r="E24" s="1781"/>
      <c r="F24" s="1782"/>
      <c r="G24" s="65">
        <v>1</v>
      </c>
      <c r="H24" s="320" t="str">
        <f>IF(F11="No",C343,"/")</f>
        <v>/</v>
      </c>
      <c r="I24" s="320" t="str">
        <f>IF(F11="No",C344,"/")</f>
        <v>/</v>
      </c>
      <c r="J24" s="48"/>
      <c r="K24" s="48"/>
      <c r="L24" s="37" t="str">
        <f t="shared" ref="L24:L25" si="1">IF(H24="/","No",IF(H24&lt;&gt;0,IF(I24="No","No","Yes"),"Yes"))</f>
        <v>No</v>
      </c>
    </row>
    <row r="25" spans="1:12" ht="30" customHeight="1" x14ac:dyDescent="0.25">
      <c r="A25" s="48"/>
      <c r="B25" s="1780" t="s">
        <v>1679</v>
      </c>
      <c r="C25" s="1781"/>
      <c r="D25" s="1781"/>
      <c r="E25" s="1781"/>
      <c r="F25" s="1782"/>
      <c r="G25" s="65">
        <v>1</v>
      </c>
      <c r="H25" s="320" t="str">
        <f>IF(F11="No",C396,"/")</f>
        <v>/</v>
      </c>
      <c r="I25" s="320" t="str">
        <f>IF(F11="No",C397,"/")</f>
        <v>/</v>
      </c>
      <c r="J25" s="48"/>
      <c r="K25" s="48"/>
      <c r="L25" s="37" t="str">
        <f t="shared" si="1"/>
        <v>No</v>
      </c>
    </row>
    <row r="26" spans="1:12" ht="19.5" customHeight="1" x14ac:dyDescent="0.25">
      <c r="A26" s="48"/>
      <c r="B26" s="1713" t="s">
        <v>29</v>
      </c>
      <c r="C26" s="1740"/>
      <c r="D26" s="1740"/>
      <c r="E26" s="1740"/>
      <c r="F26" s="1741"/>
      <c r="G26" s="612">
        <v>5</v>
      </c>
      <c r="H26" s="612">
        <f>IFERROR(MIN(5,H23+H24+H25),0)</f>
        <v>0</v>
      </c>
      <c r="I26" s="612" t="str">
        <f>IF(COUNTIF(I23:I25,"No")=3,"No",IF(COUNTIF(L23:L25,"Yes")=3,"Yes","No"))</f>
        <v>No</v>
      </c>
      <c r="J26" s="48"/>
      <c r="K26" s="48"/>
      <c r="L26" s="37">
        <f>IF(F11="No",H26,IF(F11="Yes",H20,0))</f>
        <v>0</v>
      </c>
    </row>
    <row r="27" spans="1:12" x14ac:dyDescent="0.25">
      <c r="A27" s="48"/>
      <c r="B27" s="48"/>
      <c r="C27" s="48"/>
      <c r="D27" s="48"/>
      <c r="E27" s="48"/>
      <c r="F27" s="48"/>
      <c r="G27" s="48"/>
      <c r="H27" s="48"/>
      <c r="I27" s="48"/>
      <c r="J27" s="48"/>
      <c r="K27" s="48"/>
    </row>
    <row r="28" spans="1:12" ht="18" customHeight="1" x14ac:dyDescent="0.25">
      <c r="A28" s="1841" t="s">
        <v>369</v>
      </c>
      <c r="B28" s="1841"/>
      <c r="C28" s="1841"/>
      <c r="D28" s="1841"/>
      <c r="E28" s="1841"/>
      <c r="F28" s="1841"/>
      <c r="G28" s="1841"/>
      <c r="H28" s="1841"/>
      <c r="I28" s="1841"/>
      <c r="J28" s="1841"/>
      <c r="K28" s="1841"/>
    </row>
    <row r="29" spans="1:12" ht="15" customHeight="1" x14ac:dyDescent="0.25">
      <c r="A29" s="49"/>
      <c r="B29" s="49"/>
      <c r="C29" s="49"/>
      <c r="D29" s="49"/>
      <c r="E29" s="49"/>
      <c r="F29" s="49"/>
      <c r="G29" s="49"/>
      <c r="H29" s="49"/>
      <c r="I29" s="49"/>
      <c r="J29" s="49"/>
      <c r="K29" s="49"/>
    </row>
    <row r="30" spans="1:12" ht="16.5" customHeight="1" x14ac:dyDescent="0.25">
      <c r="A30" s="1851" t="s">
        <v>117</v>
      </c>
      <c r="B30" s="1851"/>
      <c r="C30" s="1851"/>
      <c r="D30" s="49"/>
      <c r="E30" s="49"/>
      <c r="F30" s="49"/>
      <c r="G30" s="49"/>
      <c r="H30" s="49"/>
      <c r="I30" s="49"/>
      <c r="J30" s="49"/>
      <c r="K30" s="49"/>
    </row>
    <row r="31" spans="1:12" ht="15" customHeight="1" x14ac:dyDescent="0.25">
      <c r="A31" s="49"/>
      <c r="B31" s="49"/>
      <c r="C31" s="49"/>
      <c r="D31" s="49"/>
      <c r="E31" s="49"/>
      <c r="F31" s="49"/>
      <c r="G31" s="49"/>
      <c r="H31" s="49"/>
      <c r="I31" s="49"/>
      <c r="J31" s="49"/>
      <c r="K31" s="49"/>
    </row>
    <row r="32" spans="1:12" ht="15" customHeight="1" x14ac:dyDescent="0.25">
      <c r="A32" s="49"/>
      <c r="B32" s="788" t="s">
        <v>1682</v>
      </c>
      <c r="C32" s="49"/>
      <c r="D32" s="49"/>
      <c r="E32" s="49"/>
      <c r="F32" s="49"/>
      <c r="G32" s="49"/>
      <c r="H32" s="49"/>
      <c r="I32" s="49"/>
      <c r="J32" s="49"/>
      <c r="K32" s="49"/>
    </row>
    <row r="33" spans="1:11" ht="18" customHeight="1" x14ac:dyDescent="0.25">
      <c r="A33" s="49"/>
      <c r="B33" s="49"/>
      <c r="C33" s="49"/>
      <c r="D33" s="49"/>
      <c r="E33" s="49"/>
      <c r="F33" s="49"/>
      <c r="G33" s="49"/>
      <c r="H33" s="49"/>
      <c r="I33" s="49"/>
      <c r="J33" s="49"/>
      <c r="K33" s="49"/>
    </row>
    <row r="34" spans="1:11" x14ac:dyDescent="0.25">
      <c r="A34" s="49"/>
      <c r="B34" s="797" t="s">
        <v>1675</v>
      </c>
      <c r="C34" s="49"/>
      <c r="D34" s="49"/>
      <c r="E34" s="49"/>
      <c r="F34" s="49"/>
      <c r="G34" s="49"/>
      <c r="H34" s="49"/>
      <c r="I34" s="49"/>
      <c r="J34" s="49"/>
      <c r="K34" s="49"/>
    </row>
    <row r="35" spans="1:11" x14ac:dyDescent="0.25">
      <c r="A35" s="49"/>
      <c r="B35" s="49"/>
      <c r="C35" s="49"/>
      <c r="D35" s="49"/>
      <c r="E35" s="49"/>
      <c r="F35" s="49"/>
      <c r="G35" s="49"/>
      <c r="H35" s="49"/>
      <c r="I35" s="49"/>
      <c r="J35" s="49"/>
      <c r="K35" s="49"/>
    </row>
    <row r="36" spans="1:11" ht="15" customHeight="1" x14ac:dyDescent="0.25">
      <c r="A36" s="49"/>
      <c r="B36" s="1766" t="s">
        <v>2002</v>
      </c>
      <c r="C36" s="1767"/>
      <c r="D36" s="1767"/>
      <c r="E36" s="1767"/>
      <c r="F36" s="1768"/>
      <c r="G36" s="49"/>
      <c r="H36" s="49"/>
      <c r="I36" s="49"/>
      <c r="J36" s="49"/>
      <c r="K36" s="49"/>
    </row>
    <row r="37" spans="1:11" ht="15" customHeight="1" x14ac:dyDescent="0.25">
      <c r="A37" s="49"/>
      <c r="B37" s="1858" t="s">
        <v>1681</v>
      </c>
      <c r="C37" s="1859"/>
      <c r="D37" s="1859"/>
      <c r="E37" s="1859"/>
      <c r="F37" s="1860"/>
      <c r="G37" s="49"/>
      <c r="H37" s="49"/>
      <c r="I37" s="49"/>
      <c r="J37" s="49"/>
      <c r="K37" s="49"/>
    </row>
    <row r="38" spans="1:11" ht="15" customHeight="1" x14ac:dyDescent="0.25">
      <c r="A38" s="49"/>
      <c r="B38" s="1858" t="s">
        <v>1680</v>
      </c>
      <c r="C38" s="1859"/>
      <c r="D38" s="1859"/>
      <c r="E38" s="1859"/>
      <c r="F38" s="1860"/>
      <c r="G38" s="49"/>
      <c r="H38" s="49"/>
      <c r="I38" s="49"/>
      <c r="J38" s="49"/>
      <c r="K38" s="49"/>
    </row>
    <row r="39" spans="1:11" ht="15" customHeight="1" x14ac:dyDescent="0.25">
      <c r="A39" s="49"/>
      <c r="B39" s="1858" t="s">
        <v>1068</v>
      </c>
      <c r="C39" s="1859"/>
      <c r="D39" s="1859"/>
      <c r="E39" s="1859"/>
      <c r="F39" s="1860"/>
      <c r="G39" s="49"/>
      <c r="H39" s="49"/>
      <c r="I39" s="49"/>
      <c r="J39" s="49"/>
      <c r="K39" s="49"/>
    </row>
    <row r="40" spans="1:11" ht="15" customHeight="1" x14ac:dyDescent="0.25">
      <c r="A40" s="49"/>
      <c r="B40" s="1729" t="s">
        <v>1697</v>
      </c>
      <c r="C40" s="1730"/>
      <c r="D40" s="1730"/>
      <c r="E40" s="1730"/>
      <c r="F40" s="1731"/>
      <c r="G40" s="49"/>
      <c r="H40" s="49"/>
      <c r="I40" s="49"/>
      <c r="J40" s="49"/>
      <c r="K40" s="49"/>
    </row>
    <row r="41" spans="1:11" ht="15" customHeight="1" x14ac:dyDescent="0.25">
      <c r="A41" s="49"/>
      <c r="B41" s="49"/>
      <c r="C41" s="49"/>
      <c r="D41" s="49"/>
      <c r="E41" s="49"/>
      <c r="F41" s="49"/>
      <c r="G41" s="49"/>
      <c r="H41" s="49"/>
      <c r="I41" s="49"/>
      <c r="J41" s="49"/>
      <c r="K41" s="49"/>
    </row>
    <row r="42" spans="1:11" x14ac:dyDescent="0.25">
      <c r="A42" s="49"/>
      <c r="B42" s="671" t="s">
        <v>1069</v>
      </c>
      <c r="C42" s="49"/>
      <c r="D42" s="49"/>
      <c r="E42" s="49"/>
      <c r="F42" s="49"/>
      <c r="G42" s="49"/>
      <c r="H42" s="49"/>
      <c r="I42" s="49"/>
      <c r="J42" s="49"/>
      <c r="K42" s="49"/>
    </row>
    <row r="43" spans="1:11" ht="13.5" customHeight="1" x14ac:dyDescent="0.25">
      <c r="A43" s="49"/>
      <c r="B43" s="614"/>
      <c r="C43" s="49"/>
      <c r="D43" s="49"/>
      <c r="E43" s="49"/>
      <c r="F43" s="49"/>
      <c r="G43" s="49"/>
      <c r="H43" s="49"/>
      <c r="I43" s="49"/>
      <c r="J43" s="49"/>
      <c r="K43" s="49"/>
    </row>
    <row r="44" spans="1:11" ht="16.5" customHeight="1" x14ac:dyDescent="0.25">
      <c r="A44" s="49"/>
      <c r="B44" s="1852" t="s">
        <v>87</v>
      </c>
      <c r="C44" s="1853"/>
      <c r="D44" s="1827" t="s">
        <v>81</v>
      </c>
      <c r="E44" s="1828"/>
      <c r="F44" s="1857" t="s">
        <v>1066</v>
      </c>
      <c r="G44" s="1827" t="s">
        <v>89</v>
      </c>
      <c r="H44" s="49"/>
      <c r="I44" s="49"/>
      <c r="J44" s="49"/>
      <c r="K44" s="49"/>
    </row>
    <row r="45" spans="1:11" ht="16.5" customHeight="1" x14ac:dyDescent="0.25">
      <c r="A45" s="49"/>
      <c r="B45" s="802" t="s">
        <v>91</v>
      </c>
      <c r="C45" s="803" t="s">
        <v>84</v>
      </c>
      <c r="D45" s="1827"/>
      <c r="E45" s="1828"/>
      <c r="F45" s="1857"/>
      <c r="G45" s="1827"/>
      <c r="H45" s="49"/>
      <c r="I45" s="49"/>
      <c r="J45" s="49"/>
      <c r="K45" s="49"/>
    </row>
    <row r="46" spans="1:11" x14ac:dyDescent="0.25">
      <c r="A46" s="49"/>
      <c r="B46" s="1849"/>
      <c r="C46" s="1849" t="s">
        <v>62</v>
      </c>
      <c r="D46" s="66" t="s">
        <v>85</v>
      </c>
      <c r="E46" s="108"/>
      <c r="F46" s="688">
        <v>3</v>
      </c>
      <c r="G46" s="1850" t="str">
        <f>IF(C46="Single Flush","No",IF(AND(E46&lt;&gt;"",E47&lt;&gt;""),IF(AND(E46&lt;=F46,E47&lt;=F47),"Yes","No"),""))</f>
        <v/>
      </c>
      <c r="H46" s="49"/>
      <c r="I46" s="49"/>
      <c r="J46" s="49"/>
      <c r="K46" s="49"/>
    </row>
    <row r="47" spans="1:11" x14ac:dyDescent="0.25">
      <c r="A47" s="49"/>
      <c r="B47" s="1849"/>
      <c r="C47" s="1849"/>
      <c r="D47" s="66" t="s">
        <v>86</v>
      </c>
      <c r="E47" s="108"/>
      <c r="F47" s="688">
        <v>6</v>
      </c>
      <c r="G47" s="1850"/>
      <c r="H47" s="49"/>
      <c r="I47" s="49"/>
      <c r="J47" s="49"/>
      <c r="K47" s="49"/>
    </row>
    <row r="48" spans="1:11" x14ac:dyDescent="0.25">
      <c r="A48" s="49"/>
      <c r="B48" s="1849"/>
      <c r="C48" s="1849" t="s">
        <v>62</v>
      </c>
      <c r="D48" s="66" t="s">
        <v>85</v>
      </c>
      <c r="E48" s="108"/>
      <c r="F48" s="688">
        <v>3</v>
      </c>
      <c r="G48" s="1850" t="str">
        <f>IF(C48="Single Flush","No",IF(AND(E48&lt;&gt;"",E49&lt;&gt;""),IF(AND(E48&lt;=F48,E49&lt;=F49),"Yes","No"),""))</f>
        <v/>
      </c>
      <c r="H48" s="49"/>
      <c r="I48" s="49"/>
      <c r="J48" s="49"/>
      <c r="K48" s="49"/>
    </row>
    <row r="49" spans="1:11" x14ac:dyDescent="0.25">
      <c r="A49" s="49"/>
      <c r="B49" s="1849"/>
      <c r="C49" s="1849"/>
      <c r="D49" s="66" t="s">
        <v>86</v>
      </c>
      <c r="E49" s="108"/>
      <c r="F49" s="688">
        <v>6</v>
      </c>
      <c r="G49" s="1850"/>
      <c r="H49" s="49"/>
      <c r="I49" s="49"/>
      <c r="J49" s="49"/>
      <c r="K49" s="49"/>
    </row>
    <row r="50" spans="1:11" x14ac:dyDescent="0.25">
      <c r="A50" s="49"/>
      <c r="B50" s="1849"/>
      <c r="C50" s="1849" t="s">
        <v>62</v>
      </c>
      <c r="D50" s="66" t="s">
        <v>85</v>
      </c>
      <c r="E50" s="108"/>
      <c r="F50" s="688">
        <v>3</v>
      </c>
      <c r="G50" s="1850" t="str">
        <f>IF(C50="Single Flush","No",IF(AND(E50&lt;&gt;"",E51&lt;&gt;""),IF(AND(E50&lt;=F50,E51&lt;=F51),"Yes","No"),""))</f>
        <v/>
      </c>
      <c r="H50" s="49"/>
      <c r="I50" s="49"/>
      <c r="J50" s="49"/>
      <c r="K50" s="49"/>
    </row>
    <row r="51" spans="1:11" x14ac:dyDescent="0.25">
      <c r="A51" s="49"/>
      <c r="B51" s="1849"/>
      <c r="C51" s="1849"/>
      <c r="D51" s="66" t="s">
        <v>86</v>
      </c>
      <c r="E51" s="108"/>
      <c r="F51" s="688">
        <v>6</v>
      </c>
      <c r="G51" s="1850"/>
      <c r="H51" s="49"/>
      <c r="I51" s="49"/>
      <c r="J51" s="49"/>
      <c r="K51" s="49"/>
    </row>
    <row r="52" spans="1:11" x14ac:dyDescent="0.25">
      <c r="A52" s="49"/>
      <c r="B52" s="1849"/>
      <c r="C52" s="1849" t="s">
        <v>62</v>
      </c>
      <c r="D52" s="66" t="s">
        <v>85</v>
      </c>
      <c r="E52" s="108"/>
      <c r="F52" s="688">
        <v>3</v>
      </c>
      <c r="G52" s="1850" t="str">
        <f>IF(C52="Single Flush","No",IF(AND(E52&lt;&gt;"",E53&lt;&gt;""),IF(AND(E52&lt;=F52,E53&lt;=F53),"Yes","No"),""))</f>
        <v/>
      </c>
      <c r="H52" s="49"/>
      <c r="I52" s="49"/>
      <c r="J52" s="49"/>
      <c r="K52" s="49"/>
    </row>
    <row r="53" spans="1:11" x14ac:dyDescent="0.25">
      <c r="A53" s="49"/>
      <c r="B53" s="1849"/>
      <c r="C53" s="1849"/>
      <c r="D53" s="66" t="s">
        <v>86</v>
      </c>
      <c r="E53" s="108"/>
      <c r="F53" s="688">
        <v>6</v>
      </c>
      <c r="G53" s="1850"/>
      <c r="H53" s="49"/>
      <c r="I53" s="49"/>
      <c r="J53" s="49"/>
      <c r="K53" s="49"/>
    </row>
    <row r="54" spans="1:11" x14ac:dyDescent="0.25">
      <c r="A54" s="49"/>
      <c r="B54" s="49"/>
      <c r="C54" s="49"/>
      <c r="D54" s="49"/>
      <c r="E54" s="49"/>
      <c r="F54" s="49"/>
      <c r="G54" s="63" t="str">
        <f>IF(COUNTIF(G46:G53,"No")=0,IF(COUNTIF(G46:G53,"Yes")=0,"",IF(COUNTIF(G46:G53,"Yes")&gt;=1,"Yes","No")))</f>
        <v/>
      </c>
      <c r="H54" s="49"/>
      <c r="I54" s="49"/>
      <c r="J54" s="49"/>
      <c r="K54" s="49"/>
    </row>
    <row r="55" spans="1:11" ht="12" customHeight="1" x14ac:dyDescent="0.25">
      <c r="A55" s="49"/>
      <c r="B55" s="49"/>
      <c r="C55" s="49"/>
      <c r="D55" s="49"/>
      <c r="E55" s="49"/>
      <c r="F55" s="49"/>
      <c r="G55" s="49"/>
      <c r="H55" s="49"/>
      <c r="I55" s="49"/>
      <c r="J55" s="49"/>
      <c r="K55" s="49"/>
    </row>
    <row r="56" spans="1:11" ht="33" customHeight="1" x14ac:dyDescent="0.25">
      <c r="A56" s="49"/>
      <c r="B56" s="1866" t="s">
        <v>1067</v>
      </c>
      <c r="C56" s="1867"/>
      <c r="D56" s="1827" t="s">
        <v>88</v>
      </c>
      <c r="E56" s="1828"/>
      <c r="F56" s="891" t="s">
        <v>1507</v>
      </c>
      <c r="G56" s="888" t="s">
        <v>89</v>
      </c>
      <c r="H56" s="49"/>
      <c r="I56" s="49"/>
      <c r="J56" s="49"/>
      <c r="K56" s="49"/>
    </row>
    <row r="57" spans="1:11" x14ac:dyDescent="0.25">
      <c r="A57" s="49"/>
      <c r="B57" s="1849"/>
      <c r="C57" s="1849"/>
      <c r="D57" s="1849"/>
      <c r="E57" s="1849"/>
      <c r="F57" s="135">
        <v>0.14000000000000001</v>
      </c>
      <c r="G57" s="135" t="str">
        <f>IF(D57&lt;&gt;"",IF(D57&lt;=F57,"Yes","No"),"")</f>
        <v/>
      </c>
      <c r="H57" s="49"/>
      <c r="I57" s="49"/>
      <c r="J57" s="49"/>
      <c r="K57" s="49"/>
    </row>
    <row r="58" spans="1:11" x14ac:dyDescent="0.25">
      <c r="A58" s="49"/>
      <c r="B58" s="1849"/>
      <c r="C58" s="1849"/>
      <c r="D58" s="1849"/>
      <c r="E58" s="1849"/>
      <c r="F58" s="782">
        <v>0.14000000000000001</v>
      </c>
      <c r="G58" s="782" t="str">
        <f>IF(D58&lt;&gt;"",IF(D58&lt;=F58,"Yes","No"),"")</f>
        <v/>
      </c>
      <c r="H58" s="49"/>
      <c r="I58" s="49"/>
      <c r="J58" s="49"/>
      <c r="K58" s="49"/>
    </row>
    <row r="59" spans="1:11" x14ac:dyDescent="0.25">
      <c r="A59" s="49"/>
      <c r="B59" s="1849"/>
      <c r="C59" s="1849"/>
      <c r="D59" s="1849"/>
      <c r="E59" s="1849"/>
      <c r="F59" s="135">
        <v>0.14000000000000001</v>
      </c>
      <c r="G59" s="135" t="str">
        <f t="shared" ref="G59:G60" si="2">IF(D59&lt;&gt;"",IF(D59&lt;=F59,"Yes","No"),"")</f>
        <v/>
      </c>
      <c r="H59" s="49"/>
      <c r="I59" s="49"/>
      <c r="J59" s="49"/>
      <c r="K59" s="49"/>
    </row>
    <row r="60" spans="1:11" x14ac:dyDescent="0.25">
      <c r="A60" s="49"/>
      <c r="B60" s="1849"/>
      <c r="C60" s="1849"/>
      <c r="D60" s="1849"/>
      <c r="E60" s="1849"/>
      <c r="F60" s="135">
        <v>0.14000000000000001</v>
      </c>
      <c r="G60" s="135" t="str">
        <f t="shared" si="2"/>
        <v/>
      </c>
      <c r="H60" s="49"/>
      <c r="I60" s="49"/>
      <c r="J60" s="49"/>
      <c r="K60" s="49"/>
    </row>
    <row r="61" spans="1:11" x14ac:dyDescent="0.25">
      <c r="A61" s="49"/>
      <c r="B61" s="49"/>
      <c r="C61" s="49"/>
      <c r="D61" s="49"/>
      <c r="E61" s="49"/>
      <c r="F61" s="49"/>
      <c r="G61" s="63" t="str">
        <f>IF(COUNTIF(G57:G60,"No")=0,IF(COUNTIF(G57:G60,"Yes")=0,"",IF(COUNTIF(G57:G60,"Yes")&gt;=1,"Yes","No")),"No")</f>
        <v/>
      </c>
      <c r="H61" s="49"/>
      <c r="I61" s="49"/>
      <c r="J61" s="49"/>
      <c r="K61" s="49"/>
    </row>
    <row r="62" spans="1:11" ht="12" customHeight="1" x14ac:dyDescent="0.25">
      <c r="A62" s="49"/>
      <c r="B62" s="49"/>
      <c r="C62" s="49"/>
      <c r="D62" s="49"/>
      <c r="E62" s="49"/>
      <c r="F62" s="49"/>
      <c r="G62" s="49"/>
      <c r="H62" s="49"/>
      <c r="I62" s="49"/>
      <c r="J62" s="49"/>
      <c r="K62" s="49"/>
    </row>
    <row r="63" spans="1:11" ht="33" customHeight="1" x14ac:dyDescent="0.25">
      <c r="A63" s="49"/>
      <c r="B63" s="1866" t="s">
        <v>93</v>
      </c>
      <c r="C63" s="1867"/>
      <c r="D63" s="1827" t="s">
        <v>88</v>
      </c>
      <c r="E63" s="1828"/>
      <c r="F63" s="891" t="s">
        <v>1507</v>
      </c>
      <c r="G63" s="888" t="s">
        <v>89</v>
      </c>
      <c r="H63" s="49"/>
      <c r="I63" s="49"/>
      <c r="J63" s="49"/>
      <c r="K63" s="49"/>
    </row>
    <row r="64" spans="1:11" x14ac:dyDescent="0.25">
      <c r="A64" s="49"/>
      <c r="B64" s="1849"/>
      <c r="C64" s="1849"/>
      <c r="D64" s="1849"/>
      <c r="E64" s="1849"/>
      <c r="F64" s="135">
        <v>0.12</v>
      </c>
      <c r="G64" s="135" t="str">
        <f>IF(D64&lt;&gt;"",IF(D64&lt;=F64,"Yes","No"),"")</f>
        <v/>
      </c>
      <c r="H64" s="49"/>
      <c r="I64" s="49"/>
      <c r="J64" s="49"/>
      <c r="K64" s="49"/>
    </row>
    <row r="65" spans="1:11" x14ac:dyDescent="0.25">
      <c r="A65" s="49"/>
      <c r="B65" s="1849"/>
      <c r="C65" s="1849"/>
      <c r="D65" s="1849"/>
      <c r="E65" s="1849"/>
      <c r="F65" s="782">
        <v>0.12</v>
      </c>
      <c r="G65" s="782" t="str">
        <f>IF(D65&lt;&gt;"",IF(D65&lt;=F65,"Yes","No"),"")</f>
        <v/>
      </c>
      <c r="H65" s="49"/>
      <c r="I65" s="49"/>
      <c r="J65" s="49"/>
      <c r="K65" s="49"/>
    </row>
    <row r="66" spans="1:11" x14ac:dyDescent="0.25">
      <c r="A66" s="49"/>
      <c r="B66" s="1849"/>
      <c r="C66" s="1849"/>
      <c r="D66" s="1849"/>
      <c r="E66" s="1849"/>
      <c r="F66" s="135">
        <v>0.12</v>
      </c>
      <c r="G66" s="135" t="str">
        <f t="shared" ref="G66:G67" si="3">IF(D66&lt;&gt;"",IF(D66&lt;=F66,"Yes","No"),"")</f>
        <v/>
      </c>
      <c r="H66" s="49"/>
      <c r="I66" s="49"/>
      <c r="J66" s="49"/>
      <c r="K66" s="49"/>
    </row>
    <row r="67" spans="1:11" x14ac:dyDescent="0.25">
      <c r="A67" s="49"/>
      <c r="B67" s="1849"/>
      <c r="C67" s="1849"/>
      <c r="D67" s="1849"/>
      <c r="E67" s="1849"/>
      <c r="F67" s="135">
        <v>0.12</v>
      </c>
      <c r="G67" s="135" t="str">
        <f t="shared" si="3"/>
        <v/>
      </c>
      <c r="H67" s="49"/>
      <c r="I67" s="49"/>
      <c r="J67" s="49"/>
      <c r="K67" s="49"/>
    </row>
    <row r="68" spans="1:11" ht="13.5" customHeight="1" x14ac:dyDescent="0.25">
      <c r="A68" s="49"/>
      <c r="B68" s="49"/>
      <c r="C68" s="49"/>
      <c r="D68" s="49"/>
      <c r="E68" s="49"/>
      <c r="F68" s="49"/>
      <c r="G68" s="63" t="str">
        <f>IF(COUNTIF(G64:G67,"No")=0,IF(COUNTIF(G64:G67,"Yes")=0,"",IF(COUNTIF(G64:G67,"Yes")&gt;=1,"Yes","No")),"No")</f>
        <v/>
      </c>
      <c r="H68" s="49"/>
      <c r="I68" s="49"/>
      <c r="J68" s="49"/>
      <c r="K68" s="49"/>
    </row>
    <row r="69" spans="1:11" ht="12" customHeight="1" x14ac:dyDescent="0.25">
      <c r="A69" s="49"/>
      <c r="B69" s="49"/>
      <c r="C69" s="49"/>
      <c r="D69" s="49"/>
      <c r="E69" s="49"/>
      <c r="F69" s="49"/>
      <c r="G69" s="49"/>
      <c r="H69" s="49"/>
      <c r="I69" s="49"/>
      <c r="J69" s="49"/>
      <c r="K69" s="49"/>
    </row>
    <row r="70" spans="1:11" ht="33" customHeight="1" x14ac:dyDescent="0.25">
      <c r="A70" s="49"/>
      <c r="B70" s="1866" t="s">
        <v>1683</v>
      </c>
      <c r="C70" s="1867"/>
      <c r="D70" s="1827" t="s">
        <v>1686</v>
      </c>
      <c r="E70" s="1828"/>
      <c r="F70" s="891" t="s">
        <v>1684</v>
      </c>
      <c r="G70" s="888" t="s">
        <v>89</v>
      </c>
      <c r="H70" s="49"/>
      <c r="I70" s="49"/>
      <c r="J70" s="49"/>
      <c r="K70" s="49"/>
    </row>
    <row r="71" spans="1:11" x14ac:dyDescent="0.25">
      <c r="A71" s="49"/>
      <c r="B71" s="1849"/>
      <c r="C71" s="1849"/>
      <c r="D71" s="1849"/>
      <c r="E71" s="1849"/>
      <c r="F71" s="135">
        <v>3.79</v>
      </c>
      <c r="G71" s="135" t="str">
        <f>IF(D71&lt;&gt;"",IF(D71&lt;=F71,"Yes","No"),"")</f>
        <v/>
      </c>
      <c r="H71" s="49"/>
      <c r="I71" s="49"/>
      <c r="J71" s="49"/>
      <c r="K71" s="49"/>
    </row>
    <row r="72" spans="1:11" x14ac:dyDescent="0.25">
      <c r="A72" s="49"/>
      <c r="B72" s="1849"/>
      <c r="C72" s="1849"/>
      <c r="D72" s="1849"/>
      <c r="E72" s="1849"/>
      <c r="F72" s="941">
        <v>3.79</v>
      </c>
      <c r="G72" s="782" t="str">
        <f>IF(D72&lt;&gt;"",IF(D72&lt;=F72,"Yes","No"),"")</f>
        <v/>
      </c>
      <c r="H72" s="49"/>
      <c r="I72" s="49"/>
      <c r="J72" s="49"/>
      <c r="K72" s="49"/>
    </row>
    <row r="73" spans="1:11" x14ac:dyDescent="0.25">
      <c r="A73" s="49"/>
      <c r="B73" s="1849"/>
      <c r="C73" s="1849"/>
      <c r="D73" s="1849"/>
      <c r="E73" s="1849"/>
      <c r="F73" s="941">
        <v>3.79</v>
      </c>
      <c r="G73" s="135" t="str">
        <f t="shared" ref="G73:G74" si="4">IF(D73&lt;&gt;"",IF(D73&lt;=F73,"Yes","No"),"")</f>
        <v/>
      </c>
      <c r="H73" s="49"/>
      <c r="I73" s="49"/>
      <c r="J73" s="49"/>
      <c r="K73" s="49"/>
    </row>
    <row r="74" spans="1:11" x14ac:dyDescent="0.25">
      <c r="A74" s="49"/>
      <c r="B74" s="1864"/>
      <c r="C74" s="1865"/>
      <c r="D74" s="1849"/>
      <c r="E74" s="1849"/>
      <c r="F74" s="941">
        <v>3.79</v>
      </c>
      <c r="G74" s="135" t="str">
        <f t="shared" si="4"/>
        <v/>
      </c>
      <c r="H74" s="49"/>
      <c r="I74" s="49"/>
      <c r="J74" s="49"/>
      <c r="K74" s="49"/>
    </row>
    <row r="75" spans="1:11" x14ac:dyDescent="0.25">
      <c r="A75" s="49"/>
      <c r="B75" s="49"/>
      <c r="C75" s="49"/>
      <c r="D75" s="49"/>
      <c r="E75" s="49"/>
      <c r="F75" s="49"/>
      <c r="G75" s="63" t="str">
        <f>IF(COUNTIF(G71:G74,"No")=0,IF(COUNTIF(G71:G74,"Yes")=0,"",IF(COUNTIF(G71:G74,"Yes")&gt;=1,"Yes","No")),"No")</f>
        <v/>
      </c>
      <c r="H75" s="49"/>
      <c r="I75" s="49"/>
      <c r="J75" s="49"/>
      <c r="K75" s="49"/>
    </row>
    <row r="76" spans="1:11" x14ac:dyDescent="0.25">
      <c r="A76" s="49"/>
      <c r="B76" s="49"/>
      <c r="C76" s="49"/>
      <c r="D76" s="49"/>
      <c r="E76" s="49"/>
      <c r="F76" s="49"/>
      <c r="G76" s="49"/>
      <c r="H76" s="49"/>
      <c r="I76" s="49"/>
      <c r="J76" s="49"/>
      <c r="K76" s="49"/>
    </row>
    <row r="77" spans="1:11" ht="18.75" customHeight="1" x14ac:dyDescent="0.25">
      <c r="A77" s="49"/>
      <c r="B77" s="1869" t="s">
        <v>1685</v>
      </c>
      <c r="C77" s="1869"/>
      <c r="D77" s="1869"/>
      <c r="E77" s="64" t="str">
        <f>IF(OR(G75="No",G68="No",G61="No",G54="No"),"No",IF(OR(G75="Yes",G68="Yes",G61="Yes",G54="Yes"),"Yes","No"))</f>
        <v>No</v>
      </c>
      <c r="F77" s="49"/>
      <c r="G77" s="49"/>
      <c r="H77" s="49"/>
      <c r="I77" s="49"/>
      <c r="J77" s="49"/>
      <c r="K77" s="49"/>
    </row>
    <row r="78" spans="1:11" ht="19.5" customHeight="1" x14ac:dyDescent="0.25">
      <c r="A78" s="49"/>
      <c r="B78" s="49"/>
      <c r="C78" s="49"/>
      <c r="D78" s="49"/>
      <c r="E78" s="49"/>
      <c r="F78" s="49"/>
      <c r="G78" s="49"/>
      <c r="H78" s="49"/>
      <c r="I78" s="49"/>
      <c r="J78" s="49"/>
      <c r="K78" s="49"/>
    </row>
    <row r="79" spans="1:11" ht="16.5" customHeight="1" x14ac:dyDescent="0.25">
      <c r="A79" s="1851" t="s">
        <v>97</v>
      </c>
      <c r="B79" s="1851"/>
      <c r="C79" s="1851"/>
      <c r="D79" s="49"/>
      <c r="E79" s="49"/>
      <c r="F79" s="49"/>
      <c r="G79" s="49"/>
      <c r="H79" s="49"/>
      <c r="I79" s="49"/>
      <c r="J79" s="49"/>
      <c r="K79" s="49"/>
    </row>
    <row r="80" spans="1:11" x14ac:dyDescent="0.25">
      <c r="A80" s="327"/>
      <c r="B80" s="48"/>
      <c r="C80" s="48"/>
      <c r="D80" s="48"/>
      <c r="E80" s="48"/>
      <c r="F80" s="49"/>
      <c r="G80" s="836"/>
      <c r="H80" s="48"/>
      <c r="I80" s="327"/>
      <c r="J80" s="327"/>
      <c r="K80" s="327"/>
    </row>
    <row r="81" spans="1:13" ht="21" customHeight="1" x14ac:dyDescent="0.25">
      <c r="A81" s="837"/>
      <c r="B81" s="1871" t="s">
        <v>98</v>
      </c>
      <c r="C81" s="1872"/>
      <c r="D81" s="1872"/>
      <c r="E81" s="1872"/>
      <c r="F81" s="1872"/>
      <c r="G81" s="835" t="s">
        <v>1297</v>
      </c>
      <c r="H81" s="1878" t="s">
        <v>1298</v>
      </c>
      <c r="I81" s="1878"/>
      <c r="J81" s="327"/>
      <c r="K81" s="327"/>
    </row>
    <row r="82" spans="1:13" ht="27" customHeight="1" x14ac:dyDescent="0.25">
      <c r="A82" s="327"/>
      <c r="B82" s="1644" t="str">
        <f>Submittals!H40</f>
        <v>Select the Submission Stage in Project Information</v>
      </c>
      <c r="C82" s="1645"/>
      <c r="D82" s="1645"/>
      <c r="E82" s="1645"/>
      <c r="F82" s="1646"/>
      <c r="G82" s="821" t="s">
        <v>62</v>
      </c>
      <c r="H82" s="1625"/>
      <c r="I82" s="1662"/>
      <c r="J82" s="327"/>
      <c r="K82" s="327"/>
      <c r="L82" s="37" t="str">
        <f>IF(OR(B82="/",B82="No evidence required at this submission stage"),"Yes",IF(G82="Submitted","Yes","No"))</f>
        <v>No</v>
      </c>
    </row>
    <row r="83" spans="1:13" ht="30" customHeight="1" x14ac:dyDescent="0.25">
      <c r="A83" s="327"/>
      <c r="B83" s="1644" t="str">
        <f>Submittals!H41</f>
        <v>Select the Submission Stage in Project Information</v>
      </c>
      <c r="C83" s="1645"/>
      <c r="D83" s="1645"/>
      <c r="E83" s="1645"/>
      <c r="F83" s="1646"/>
      <c r="G83" s="821" t="s">
        <v>62</v>
      </c>
      <c r="H83" s="1625"/>
      <c r="I83" s="1662"/>
      <c r="J83" s="327"/>
      <c r="K83" s="327"/>
      <c r="L83" s="37" t="str">
        <f t="shared" ref="L83:L84" si="5">IF(OR(B83="/",B83="No evidence required at this submission stage"),"Yes",IF(G83="Submitted","Yes","No"))</f>
        <v>No</v>
      </c>
    </row>
    <row r="84" spans="1:13" ht="30" customHeight="1" x14ac:dyDescent="0.25">
      <c r="A84" s="327"/>
      <c r="B84" s="1644" t="str">
        <f>Submittals!H42</f>
        <v>Select the Submission Stage in Project Information</v>
      </c>
      <c r="C84" s="1645"/>
      <c r="D84" s="1645"/>
      <c r="E84" s="1645"/>
      <c r="F84" s="1646"/>
      <c r="G84" s="887" t="s">
        <v>62</v>
      </c>
      <c r="H84" s="1625"/>
      <c r="I84" s="1662"/>
      <c r="J84" s="327"/>
      <c r="K84" s="327"/>
      <c r="L84" s="37" t="str">
        <f t="shared" si="5"/>
        <v>No</v>
      </c>
    </row>
    <row r="85" spans="1:13" x14ac:dyDescent="0.25">
      <c r="A85" s="327"/>
      <c r="B85" s="48"/>
      <c r="C85" s="327"/>
      <c r="D85" s="327"/>
      <c r="E85" s="327"/>
      <c r="F85" s="327"/>
      <c r="G85" s="327"/>
      <c r="H85" s="327"/>
      <c r="I85" s="327"/>
      <c r="J85" s="327"/>
      <c r="K85" s="327"/>
    </row>
    <row r="86" spans="1:13" ht="16.5" customHeight="1" x14ac:dyDescent="0.25">
      <c r="A86" s="1851" t="s">
        <v>8</v>
      </c>
      <c r="B86" s="1851"/>
      <c r="C86" s="1851"/>
      <c r="D86" s="327"/>
      <c r="E86" s="327"/>
      <c r="F86" s="327"/>
      <c r="G86" s="327"/>
      <c r="H86" s="327"/>
      <c r="I86" s="327"/>
      <c r="J86" s="327"/>
      <c r="K86" s="327"/>
    </row>
    <row r="87" spans="1:13" x14ac:dyDescent="0.25">
      <c r="A87" s="327"/>
      <c r="B87" s="48"/>
      <c r="C87" s="48"/>
      <c r="D87" s="48"/>
      <c r="E87" s="48"/>
      <c r="F87" s="48"/>
      <c r="G87" s="48"/>
      <c r="H87" s="48"/>
      <c r="I87" s="48"/>
      <c r="J87" s="48"/>
      <c r="K87" s="48"/>
    </row>
    <row r="88" spans="1:13" ht="18" customHeight="1" x14ac:dyDescent="0.25">
      <c r="A88" s="327"/>
      <c r="B88" s="114" t="s">
        <v>360</v>
      </c>
      <c r="C88" s="689" t="str">
        <f>IF('W-PR-1 &amp; W-1 Efficient Fixtures'!F11="No","N/A",IF(F11="Yes",E77,"No"))</f>
        <v>No</v>
      </c>
      <c r="D88" s="327"/>
      <c r="E88" s="327"/>
      <c r="F88" s="327"/>
      <c r="G88" s="327"/>
      <c r="H88" s="327"/>
      <c r="I88" s="327"/>
      <c r="J88" s="327"/>
      <c r="K88" s="327"/>
    </row>
    <row r="89" spans="1:13" ht="18" customHeight="1" collapsed="1" x14ac:dyDescent="0.25">
      <c r="A89" s="327"/>
      <c r="B89" s="122" t="s">
        <v>151</v>
      </c>
      <c r="C89" s="8" t="str">
        <f>IF('W-PR-1 &amp; W-1 Efficient Fixtures'!F11="No","N/A",IF(F11="No","",IF(AND(COUNTIF(L82:L84,"Yes")=3,C88="Yes"),"Yes","No")))</f>
        <v>No</v>
      </c>
      <c r="D89" s="327"/>
      <c r="E89" s="327"/>
      <c r="F89" s="327"/>
      <c r="G89" s="327"/>
      <c r="H89" s="327"/>
      <c r="I89" s="327"/>
      <c r="J89" s="327"/>
      <c r="K89" s="327"/>
    </row>
    <row r="90" spans="1:13" ht="18.75" customHeight="1" x14ac:dyDescent="0.25">
      <c r="A90" s="327"/>
      <c r="B90" s="48"/>
      <c r="C90" s="48"/>
      <c r="D90" s="48"/>
      <c r="E90" s="48"/>
      <c r="F90" s="48"/>
      <c r="G90" s="48"/>
      <c r="H90" s="48"/>
      <c r="I90" s="48"/>
      <c r="J90" s="48"/>
      <c r="K90" s="48"/>
    </row>
    <row r="91" spans="1:13" ht="18" customHeight="1" x14ac:dyDescent="0.25">
      <c r="A91" s="1841" t="s">
        <v>2088</v>
      </c>
      <c r="B91" s="1841"/>
      <c r="C91" s="1841"/>
      <c r="D91" s="1841"/>
      <c r="E91" s="1841"/>
      <c r="F91" s="1841"/>
      <c r="G91" s="1841"/>
      <c r="H91" s="1841"/>
      <c r="I91" s="1841"/>
      <c r="J91" s="1841"/>
      <c r="K91" s="1841"/>
    </row>
    <row r="92" spans="1:13" ht="18.75" customHeight="1" x14ac:dyDescent="0.25">
      <c r="A92" s="799"/>
      <c r="B92" s="395"/>
      <c r="C92" s="395"/>
      <c r="D92" s="395"/>
      <c r="E92" s="395"/>
      <c r="F92" s="395"/>
      <c r="G92" s="395"/>
      <c r="H92" s="395"/>
      <c r="I92" s="395"/>
      <c r="J92" s="395"/>
      <c r="K92" s="395"/>
    </row>
    <row r="93" spans="1:13" ht="18.75" customHeight="1" x14ac:dyDescent="0.25">
      <c r="A93" s="799"/>
      <c r="B93" s="395"/>
      <c r="C93" s="395"/>
      <c r="D93" s="395"/>
      <c r="E93" s="395"/>
      <c r="F93" s="395"/>
      <c r="G93" s="395"/>
      <c r="H93" s="395"/>
      <c r="I93" s="395"/>
      <c r="J93" s="395"/>
      <c r="K93" s="395"/>
    </row>
    <row r="94" spans="1:13" ht="18.75" customHeight="1" x14ac:dyDescent="0.25">
      <c r="A94" s="799"/>
      <c r="B94" s="395"/>
      <c r="C94" s="395"/>
      <c r="D94" s="395"/>
      <c r="E94" s="395"/>
      <c r="F94" s="395"/>
      <c r="G94" s="395"/>
      <c r="H94" s="395"/>
      <c r="I94" s="395"/>
      <c r="J94" s="395"/>
      <c r="K94" s="395"/>
    </row>
    <row r="95" spans="1:13" ht="18" customHeight="1" x14ac:dyDescent="0.25">
      <c r="A95" s="1841" t="s">
        <v>1361</v>
      </c>
      <c r="B95" s="1841"/>
      <c r="C95" s="1841"/>
      <c r="D95" s="1841"/>
      <c r="E95" s="1841"/>
      <c r="F95" s="1841"/>
      <c r="G95" s="1841"/>
      <c r="H95" s="1841"/>
      <c r="I95" s="1841"/>
      <c r="J95" s="1841"/>
      <c r="K95" s="1841"/>
    </row>
    <row r="96" spans="1:13" s="801" customFormat="1" ht="15" customHeight="1" x14ac:dyDescent="0.25">
      <c r="A96" s="800"/>
      <c r="B96" s="800"/>
      <c r="C96" s="800"/>
      <c r="D96" s="800"/>
      <c r="E96" s="800"/>
      <c r="F96" s="800"/>
      <c r="G96" s="800"/>
      <c r="H96" s="800"/>
      <c r="I96" s="800"/>
      <c r="J96" s="800"/>
      <c r="K96" s="800"/>
      <c r="L96" s="37"/>
      <c r="M96" s="37"/>
    </row>
    <row r="97" spans="1:14" ht="16.5" customHeight="1" x14ac:dyDescent="0.25">
      <c r="A97" s="1851" t="s">
        <v>117</v>
      </c>
      <c r="B97" s="1851"/>
      <c r="C97" s="1851"/>
      <c r="D97" s="800"/>
      <c r="E97" s="800"/>
      <c r="F97" s="800"/>
      <c r="G97" s="800"/>
      <c r="H97" s="800"/>
      <c r="I97" s="800"/>
      <c r="J97" s="800"/>
      <c r="K97" s="800"/>
    </row>
    <row r="98" spans="1:14" ht="15" customHeight="1" x14ac:dyDescent="0.25">
      <c r="A98" s="800"/>
      <c r="B98" s="800"/>
      <c r="C98" s="800"/>
      <c r="D98" s="800"/>
      <c r="E98" s="800"/>
      <c r="F98" s="800"/>
      <c r="G98" s="800"/>
      <c r="H98" s="800"/>
      <c r="I98" s="800"/>
      <c r="J98" s="800"/>
      <c r="K98" s="800"/>
    </row>
    <row r="99" spans="1:14" ht="15" customHeight="1" x14ac:dyDescent="0.25">
      <c r="A99" s="800"/>
      <c r="B99" s="806" t="s">
        <v>1300</v>
      </c>
      <c r="C99" s="800"/>
      <c r="D99" s="800"/>
      <c r="E99" s="800"/>
      <c r="F99" s="800"/>
      <c r="G99" s="800"/>
      <c r="H99" s="800"/>
      <c r="I99" s="800"/>
      <c r="J99" s="800"/>
      <c r="K99" s="800"/>
    </row>
    <row r="100" spans="1:14" ht="15" customHeight="1" x14ac:dyDescent="0.25">
      <c r="A100" s="800"/>
      <c r="B100" s="800"/>
      <c r="C100" s="800"/>
      <c r="D100" s="800"/>
      <c r="E100" s="800"/>
      <c r="F100" s="800"/>
      <c r="G100" s="800"/>
      <c r="H100" s="800"/>
      <c r="I100" s="800"/>
      <c r="J100" s="800"/>
      <c r="K100" s="800"/>
    </row>
    <row r="101" spans="1:14" ht="15" customHeight="1" x14ac:dyDescent="0.25">
      <c r="A101" s="800"/>
      <c r="B101" s="800"/>
      <c r="C101" s="800"/>
      <c r="D101" s="800"/>
      <c r="E101" s="800"/>
      <c r="F101" s="800"/>
      <c r="G101" s="800"/>
      <c r="H101" s="800"/>
      <c r="I101" s="800"/>
      <c r="J101" s="800"/>
      <c r="K101" s="800"/>
    </row>
    <row r="102" spans="1:14" ht="16.5" customHeight="1" x14ac:dyDescent="0.25">
      <c r="A102" s="1851" t="s">
        <v>9</v>
      </c>
      <c r="B102" s="1851"/>
      <c r="C102" s="1851"/>
      <c r="D102" s="800"/>
      <c r="E102" s="800"/>
      <c r="F102" s="800"/>
      <c r="G102" s="800"/>
      <c r="H102" s="800"/>
      <c r="I102" s="800"/>
      <c r="J102" s="800"/>
      <c r="K102" s="800"/>
    </row>
    <row r="103" spans="1:14" x14ac:dyDescent="0.25">
      <c r="A103" s="800"/>
      <c r="B103" s="800"/>
      <c r="C103" s="800"/>
      <c r="D103" s="800"/>
      <c r="E103" s="800"/>
      <c r="F103" s="800"/>
      <c r="G103" s="800"/>
      <c r="H103" s="800"/>
      <c r="I103" s="800"/>
      <c r="J103" s="800"/>
      <c r="K103" s="800"/>
    </row>
    <row r="104" spans="1:14" x14ac:dyDescent="0.25">
      <c r="A104" s="800"/>
      <c r="B104" s="800" t="s">
        <v>1687</v>
      </c>
      <c r="C104" s="800"/>
      <c r="D104" s="800"/>
      <c r="E104" s="800"/>
      <c r="F104" s="800"/>
      <c r="G104" s="800"/>
      <c r="H104" s="800"/>
      <c r="I104" s="800"/>
      <c r="J104" s="800"/>
      <c r="K104" s="800"/>
    </row>
    <row r="105" spans="1:14" x14ac:dyDescent="0.25">
      <c r="A105" s="800"/>
      <c r="B105" s="800" t="s">
        <v>1508</v>
      </c>
      <c r="C105" s="800"/>
      <c r="D105" s="800"/>
      <c r="E105" s="800"/>
      <c r="F105" s="800"/>
      <c r="G105" s="800"/>
      <c r="H105" s="800"/>
      <c r="I105" s="800"/>
      <c r="J105" s="800"/>
      <c r="K105" s="800"/>
    </row>
    <row r="106" spans="1:14" x14ac:dyDescent="0.25">
      <c r="A106" s="800"/>
      <c r="B106" s="800"/>
      <c r="C106" s="800"/>
      <c r="D106" s="800"/>
      <c r="E106" s="800"/>
      <c r="F106" s="800"/>
      <c r="G106" s="800"/>
      <c r="H106" s="800"/>
      <c r="I106" s="800"/>
      <c r="J106" s="800"/>
      <c r="K106" s="800"/>
    </row>
    <row r="107" spans="1:14" x14ac:dyDescent="0.25">
      <c r="A107" s="800"/>
      <c r="B107" s="933" t="s">
        <v>1571</v>
      </c>
      <c r="C107" s="800"/>
      <c r="D107" s="800"/>
      <c r="E107" s="800"/>
      <c r="F107" s="800"/>
      <c r="G107" s="800"/>
      <c r="H107" s="800"/>
      <c r="I107" s="800"/>
      <c r="J107" s="800"/>
      <c r="K107" s="800"/>
    </row>
    <row r="108" spans="1:14" x14ac:dyDescent="0.25">
      <c r="A108" s="800"/>
      <c r="B108" s="800"/>
      <c r="C108" s="800"/>
      <c r="D108" s="800"/>
      <c r="E108" s="800"/>
      <c r="F108" s="800"/>
      <c r="G108" s="800"/>
      <c r="H108" s="800"/>
      <c r="I108" s="800"/>
      <c r="J108" s="800"/>
      <c r="K108" s="800"/>
    </row>
    <row r="109" spans="1:14" ht="38.25" hidden="1" x14ac:dyDescent="0.25">
      <c r="A109" s="800"/>
      <c r="B109" s="800"/>
      <c r="C109" s="915" t="s">
        <v>1512</v>
      </c>
      <c r="D109" s="915" t="s">
        <v>1513</v>
      </c>
      <c r="E109" s="916" t="s">
        <v>1536</v>
      </c>
      <c r="F109" s="916" t="s">
        <v>1567</v>
      </c>
      <c r="G109" s="916" t="s">
        <v>1568</v>
      </c>
      <c r="H109" s="915" t="s">
        <v>1552</v>
      </c>
      <c r="I109" s="800"/>
      <c r="J109" s="800"/>
      <c r="K109" s="800"/>
    </row>
    <row r="110" spans="1:14" ht="19.5" hidden="1" customHeight="1" x14ac:dyDescent="0.25">
      <c r="A110" s="800"/>
      <c r="B110" s="68" t="s">
        <v>115</v>
      </c>
      <c r="C110" s="889"/>
      <c r="D110" s="889"/>
      <c r="E110" s="889"/>
      <c r="F110" s="889"/>
      <c r="G110" s="889"/>
      <c r="H110" s="889"/>
      <c r="I110" s="800"/>
      <c r="J110" s="800"/>
      <c r="K110" s="800"/>
      <c r="M110" s="1839" t="s">
        <v>1512</v>
      </c>
      <c r="N110" s="1839"/>
    </row>
    <row r="111" spans="1:14" hidden="1" x14ac:dyDescent="0.25">
      <c r="A111" s="800"/>
      <c r="B111" s="800"/>
      <c r="C111" s="800"/>
      <c r="D111" s="800"/>
      <c r="E111" s="800"/>
      <c r="F111" s="800"/>
      <c r="G111" s="800"/>
      <c r="H111" s="800"/>
      <c r="I111" s="800"/>
      <c r="J111" s="800"/>
      <c r="K111" s="800"/>
      <c r="M111" s="1840"/>
      <c r="N111" s="1840"/>
    </row>
    <row r="112" spans="1:14" ht="20.25" hidden="1" customHeight="1" x14ac:dyDescent="0.25">
      <c r="A112" s="800"/>
      <c r="B112" s="1853" t="s">
        <v>87</v>
      </c>
      <c r="C112" s="1875"/>
      <c r="D112" s="1835" t="s">
        <v>1299</v>
      </c>
      <c r="E112" s="1835"/>
      <c r="F112" s="1835" t="s">
        <v>131</v>
      </c>
      <c r="G112" s="1835" t="s">
        <v>1569</v>
      </c>
      <c r="H112" s="1837" t="s">
        <v>1570</v>
      </c>
      <c r="I112" s="800"/>
      <c r="J112" s="800"/>
      <c r="K112" s="800"/>
      <c r="M112" s="1835" t="s">
        <v>1569</v>
      </c>
      <c r="N112" s="1837" t="s">
        <v>1570</v>
      </c>
    </row>
    <row r="113" spans="1:14" ht="20.25" hidden="1" customHeight="1" x14ac:dyDescent="0.25">
      <c r="A113" s="800"/>
      <c r="B113" s="802" t="s">
        <v>91</v>
      </c>
      <c r="C113" s="803" t="s">
        <v>84</v>
      </c>
      <c r="D113" s="1836"/>
      <c r="E113" s="1836"/>
      <c r="F113" s="1836"/>
      <c r="G113" s="1836"/>
      <c r="H113" s="1838"/>
      <c r="I113" s="800"/>
      <c r="J113" s="800"/>
      <c r="K113" s="800"/>
      <c r="M113" s="1836"/>
      <c r="N113" s="1838"/>
    </row>
    <row r="114" spans="1:14" hidden="1" x14ac:dyDescent="0.25">
      <c r="A114" s="800"/>
      <c r="B114" s="1842" t="s">
        <v>1071</v>
      </c>
      <c r="C114" s="1842" t="s">
        <v>1070</v>
      </c>
      <c r="D114" s="66" t="s">
        <v>85</v>
      </c>
      <c r="E114" s="108">
        <v>3</v>
      </c>
      <c r="F114" s="1842">
        <v>2</v>
      </c>
      <c r="G114" s="1833">
        <f>IF(OR(B114="",C114="",F114=""),"",IF(C114="Dual Flush",(E114*3+E115*1)*$C$110*F114/SUM($F$46:$F$53),E115*4*$C$110*F114/SUM($F$46:$F$53)))</f>
        <v>0</v>
      </c>
      <c r="H114" s="1833">
        <f>IF(OR(B114="",C114="",F114=""),"",6*4*$C$110*F114/SUM($F$46:$F$53))</f>
        <v>0</v>
      </c>
      <c r="I114" s="800"/>
      <c r="J114" s="800"/>
      <c r="K114" s="800"/>
      <c r="M114" s="1833">
        <f>IF(OR(B114="",C114="",F114=""),"",IF(C114="Dual Flush",(E114*3+E115*1)*$C$110*F114/SUM($F$46:$F$53),E115*4*$C$110*F114/SUM($F$46:$F$53)))</f>
        <v>0</v>
      </c>
      <c r="N114" s="1833">
        <f>IF(OR(B114="",C114="",F114=""),"",6*4*$C$110*F114/SUM($F$46:$F$53))</f>
        <v>0</v>
      </c>
    </row>
    <row r="115" spans="1:14" hidden="1" x14ac:dyDescent="0.25">
      <c r="A115" s="800"/>
      <c r="B115" s="1843"/>
      <c r="C115" s="1843"/>
      <c r="D115" s="66" t="s">
        <v>86</v>
      </c>
      <c r="E115" s="108">
        <v>4</v>
      </c>
      <c r="F115" s="1843"/>
      <c r="G115" s="1834"/>
      <c r="H115" s="1834"/>
      <c r="I115" s="800"/>
      <c r="J115" s="800"/>
      <c r="K115" s="800"/>
      <c r="M115" s="1834"/>
      <c r="N115" s="1834"/>
    </row>
    <row r="116" spans="1:14" hidden="1" x14ac:dyDescent="0.25">
      <c r="A116" s="800"/>
      <c r="B116" s="1842"/>
      <c r="C116" s="1842"/>
      <c r="D116" s="66" t="s">
        <v>85</v>
      </c>
      <c r="E116" s="108"/>
      <c r="F116" s="1842"/>
      <c r="G116" s="1833" t="str">
        <f>IF(OR(B116="",C116="",F116=""),"",IF(C116="Dual Flush",(E116*3+E117*1)*$C$110*F116/SUM($F$46:$F$53),E117*4*$C$110*F116/SUM($F$46:$F$53)))</f>
        <v/>
      </c>
      <c r="H116" s="1833" t="str">
        <f>IF(OR(B116="",C116="",F116=""),"",6*4*$C$110*F116/SUM($F$46:$F$53))</f>
        <v/>
      </c>
      <c r="I116" s="800"/>
      <c r="J116" s="800"/>
      <c r="K116" s="800"/>
      <c r="M116" s="1833" t="str">
        <f>IF(OR(B116="",C116="",F116=""),"",IF(C116="Dual Flush",(E116*3+E117*1)*$C$110*F116/SUM($F$46:$F$53),E117*4*$C$110*F116/SUM($F$46:$F$53)))</f>
        <v/>
      </c>
      <c r="N116" s="1833" t="str">
        <f>IF(OR(B116="",C116="",F116=""),"",6*4*$C$110*F116/SUM($F$46:$F$53))</f>
        <v/>
      </c>
    </row>
    <row r="117" spans="1:14" hidden="1" x14ac:dyDescent="0.25">
      <c r="A117" s="800"/>
      <c r="B117" s="1843"/>
      <c r="C117" s="1843"/>
      <c r="D117" s="66" t="s">
        <v>86</v>
      </c>
      <c r="E117" s="108"/>
      <c r="F117" s="1843"/>
      <c r="G117" s="1834"/>
      <c r="H117" s="1834"/>
      <c r="I117" s="800"/>
      <c r="J117" s="800"/>
      <c r="K117" s="800"/>
      <c r="M117" s="1834"/>
      <c r="N117" s="1834"/>
    </row>
    <row r="118" spans="1:14" hidden="1" x14ac:dyDescent="0.25">
      <c r="A118" s="800"/>
      <c r="B118" s="1876"/>
      <c r="C118" s="1842"/>
      <c r="D118" s="66" t="s">
        <v>85</v>
      </c>
      <c r="E118" s="108"/>
      <c r="F118" s="1842"/>
      <c r="G118" s="1833" t="str">
        <f>IF(OR(B118="",C118="",F118=""),"",IF(C118="Dual Flush",(E118*3+E119*1)*$C$110*F118/SUM($F$46:$F$53),E119*4*$C$110*F118/SUM($F$46:$F$53)))</f>
        <v/>
      </c>
      <c r="H118" s="1833" t="str">
        <f>IF(OR(B118="",C118="",F118=""),"",6*4*$C$110*F118/SUM($F$46:$F$53))</f>
        <v/>
      </c>
      <c r="I118" s="800"/>
      <c r="J118" s="800"/>
      <c r="K118" s="800"/>
      <c r="M118" s="1833" t="str">
        <f>IF(OR(B118="",C118="",F118=""),"",IF(C118="Dual Flush",(E118*3+E119*1)*$C$110*F118/SUM($F$46:$F$53),E119*4*$C$110*F118/SUM($F$46:$F$53)))</f>
        <v/>
      </c>
      <c r="N118" s="1833" t="str">
        <f>IF(OR(B118="",C118="",F118=""),"",6*4*$C$110*F118/SUM($F$46:$F$53))</f>
        <v/>
      </c>
    </row>
    <row r="119" spans="1:14" hidden="1" x14ac:dyDescent="0.25">
      <c r="A119" s="800"/>
      <c r="B119" s="1877"/>
      <c r="C119" s="1843"/>
      <c r="D119" s="66" t="s">
        <v>86</v>
      </c>
      <c r="E119" s="108"/>
      <c r="F119" s="1843"/>
      <c r="G119" s="1834"/>
      <c r="H119" s="1834"/>
      <c r="I119" s="800"/>
      <c r="J119" s="800"/>
      <c r="K119" s="800"/>
      <c r="M119" s="1834"/>
      <c r="N119" s="1834"/>
    </row>
    <row r="120" spans="1:14" hidden="1" x14ac:dyDescent="0.25">
      <c r="A120" s="800"/>
      <c r="B120" s="800"/>
      <c r="C120" s="800"/>
      <c r="D120" s="800"/>
      <c r="E120" s="800"/>
      <c r="F120" s="800"/>
      <c r="G120" s="690">
        <f>SUM(G114:G119)</f>
        <v>0</v>
      </c>
      <c r="H120" s="690">
        <f>SUM(H114:H119)</f>
        <v>0</v>
      </c>
      <c r="I120" s="800"/>
      <c r="J120" s="800"/>
      <c r="K120" s="800"/>
      <c r="M120" s="690">
        <f>SUM(M114:M119)</f>
        <v>0</v>
      </c>
      <c r="N120" s="690">
        <f>SUM(N114:N119)</f>
        <v>0</v>
      </c>
    </row>
    <row r="121" spans="1:14" ht="12" hidden="1" customHeight="1" x14ac:dyDescent="0.25">
      <c r="A121" s="800"/>
      <c r="B121" s="800"/>
      <c r="C121" s="800"/>
      <c r="D121" s="800"/>
      <c r="E121" s="800"/>
      <c r="F121" s="800"/>
      <c r="G121" s="800"/>
      <c r="H121" s="800"/>
      <c r="I121" s="800"/>
      <c r="J121" s="800"/>
      <c r="K121" s="800"/>
    </row>
    <row r="122" spans="1:14" ht="32.25" hidden="1" customHeight="1" x14ac:dyDescent="0.25">
      <c r="A122" s="800"/>
      <c r="B122" s="1867" t="s">
        <v>90</v>
      </c>
      <c r="C122" s="1868"/>
      <c r="D122" s="1857" t="s">
        <v>88</v>
      </c>
      <c r="E122" s="1857"/>
      <c r="F122" s="804" t="s">
        <v>131</v>
      </c>
      <c r="G122" s="804" t="s">
        <v>82</v>
      </c>
      <c r="H122" s="805" t="s">
        <v>83</v>
      </c>
      <c r="I122" s="800"/>
      <c r="J122" s="800"/>
      <c r="K122" s="800"/>
    </row>
    <row r="123" spans="1:14" hidden="1" x14ac:dyDescent="0.25">
      <c r="A123" s="800"/>
      <c r="B123" s="1864"/>
      <c r="C123" s="1865"/>
      <c r="D123" s="1864"/>
      <c r="E123" s="1865"/>
      <c r="F123" s="134"/>
      <c r="G123" s="135" t="str">
        <f>IF(OR(B123="",D123="",F123=""),"",D123*480*$C$110*F123/SUM($F$57:$F$60))</f>
        <v/>
      </c>
      <c r="H123" s="135" t="str">
        <f>IF(OR(B123="",D123="",F123=""),"",0.16*480*$C$110*F123/SUM($F$57:$F$60))</f>
        <v/>
      </c>
      <c r="I123" s="800"/>
      <c r="J123" s="800"/>
      <c r="K123" s="800"/>
    </row>
    <row r="124" spans="1:14" hidden="1" x14ac:dyDescent="0.25">
      <c r="A124" s="800"/>
      <c r="B124" s="1864"/>
      <c r="C124" s="1865"/>
      <c r="D124" s="1864"/>
      <c r="E124" s="1865"/>
      <c r="F124" s="134"/>
      <c r="G124" s="135" t="str">
        <f t="shared" ref="G124:G125" si="6">IF(OR(B124="",D124="",F124=""),"",D124*480*$C$110*F124/SUM($F$57:$F$60))</f>
        <v/>
      </c>
      <c r="H124" s="135" t="str">
        <f t="shared" ref="H124:H125" si="7">IF(OR(B124="",D124="",F124=""),"",0.16*480*$C$110*F124/SUM($F$57:$F$60))</f>
        <v/>
      </c>
      <c r="I124" s="800"/>
      <c r="J124" s="800"/>
      <c r="K124" s="800"/>
    </row>
    <row r="125" spans="1:14" hidden="1" x14ac:dyDescent="0.25">
      <c r="A125" s="800"/>
      <c r="B125" s="1864"/>
      <c r="C125" s="1865"/>
      <c r="D125" s="1864"/>
      <c r="E125" s="1865"/>
      <c r="F125" s="134"/>
      <c r="G125" s="135" t="str">
        <f t="shared" si="6"/>
        <v/>
      </c>
      <c r="H125" s="135" t="str">
        <f t="shared" si="7"/>
        <v/>
      </c>
      <c r="I125" s="800"/>
      <c r="J125" s="800"/>
      <c r="K125" s="800"/>
    </row>
    <row r="126" spans="1:14" hidden="1" x14ac:dyDescent="0.25">
      <c r="A126" s="800"/>
      <c r="B126" s="800"/>
      <c r="C126" s="800"/>
      <c r="D126" s="800"/>
      <c r="E126" s="800"/>
      <c r="F126" s="800"/>
      <c r="G126" s="63">
        <f>SUM(G123:G125)</f>
        <v>0</v>
      </c>
      <c r="H126" s="63">
        <f>SUM(H123:H125)</f>
        <v>0</v>
      </c>
      <c r="I126" s="800"/>
      <c r="J126" s="800"/>
      <c r="K126" s="800"/>
    </row>
    <row r="127" spans="1:14" ht="12" hidden="1" customHeight="1" x14ac:dyDescent="0.25">
      <c r="A127" s="800"/>
      <c r="B127" s="800"/>
      <c r="C127" s="800"/>
      <c r="D127" s="800"/>
      <c r="E127" s="800"/>
      <c r="F127" s="800"/>
      <c r="G127" s="800"/>
      <c r="H127" s="800"/>
      <c r="I127" s="800"/>
      <c r="J127" s="800"/>
      <c r="K127" s="800"/>
    </row>
    <row r="128" spans="1:14" ht="35.25" hidden="1" customHeight="1" x14ac:dyDescent="0.25">
      <c r="A128" s="800"/>
      <c r="B128" s="1867" t="s">
        <v>93</v>
      </c>
      <c r="C128" s="1868"/>
      <c r="D128" s="1857" t="s">
        <v>88</v>
      </c>
      <c r="E128" s="1857"/>
      <c r="F128" s="804" t="s">
        <v>131</v>
      </c>
      <c r="G128" s="804" t="s">
        <v>82</v>
      </c>
      <c r="H128" s="805" t="s">
        <v>83</v>
      </c>
      <c r="I128" s="800"/>
      <c r="J128" s="800"/>
      <c r="K128" s="800"/>
    </row>
    <row r="129" spans="1:11" hidden="1" x14ac:dyDescent="0.25">
      <c r="A129" s="800"/>
      <c r="B129" s="1864"/>
      <c r="C129" s="1865"/>
      <c r="D129" s="1864"/>
      <c r="E129" s="1865"/>
      <c r="F129" s="134"/>
      <c r="G129" s="135" t="str">
        <f>IF(OR(B129="",D129="",F129=""),"",D129*60*$C$110*7*F129/SUM($F$64:$F$67))</f>
        <v/>
      </c>
      <c r="H129" s="135" t="str">
        <f>IF(OR(B129="",D129="",F129=""),"",0.14*60*$C$110*7*F129/SUM($F$64:$F$67))</f>
        <v/>
      </c>
      <c r="I129" s="800"/>
      <c r="J129" s="800"/>
      <c r="K129" s="800"/>
    </row>
    <row r="130" spans="1:11" hidden="1" x14ac:dyDescent="0.25">
      <c r="A130" s="800"/>
      <c r="B130" s="1864"/>
      <c r="C130" s="1865"/>
      <c r="D130" s="1864"/>
      <c r="E130" s="1865"/>
      <c r="F130" s="134"/>
      <c r="G130" s="135" t="str">
        <f>IF(OR(B130="",D130="",F130=""),"",D130*60*$C$110*7*F130/SUM($F$64:$F$67))</f>
        <v/>
      </c>
      <c r="H130" s="135" t="str">
        <f>IF(OR(B130="",D130="",F130=""),"",0.14*60*$C$110*7*F130/SUM($F$64:$F$67))</f>
        <v/>
      </c>
      <c r="I130" s="800"/>
      <c r="J130" s="800"/>
      <c r="K130" s="800"/>
    </row>
    <row r="131" spans="1:11" hidden="1" x14ac:dyDescent="0.25">
      <c r="A131" s="800"/>
      <c r="B131" s="1864"/>
      <c r="C131" s="1865"/>
      <c r="D131" s="1864"/>
      <c r="E131" s="1865"/>
      <c r="F131" s="134"/>
      <c r="G131" s="135" t="str">
        <f>IF(OR(B131="",D131="",F131=""),"",D131*60*$C$110*7*F131/SUM($F$64:$F$67))</f>
        <v/>
      </c>
      <c r="H131" s="135" t="str">
        <f>IF(OR(B131="",D131="",F131=""),"",0.14*60*$C$110*7*F131/SUM($F$64:$F$67))</f>
        <v/>
      </c>
      <c r="I131" s="800"/>
      <c r="J131" s="800"/>
      <c r="K131" s="800"/>
    </row>
    <row r="132" spans="1:11" ht="13.5" hidden="1" customHeight="1" x14ac:dyDescent="0.25">
      <c r="A132" s="800"/>
      <c r="B132" s="800"/>
      <c r="C132" s="800"/>
      <c r="D132" s="800"/>
      <c r="E132" s="800"/>
      <c r="F132" s="800"/>
      <c r="G132" s="63">
        <f>SUM(G129:G131)</f>
        <v>0</v>
      </c>
      <c r="H132" s="63">
        <f>SUM(H129:H131)</f>
        <v>0</v>
      </c>
      <c r="I132" s="800"/>
      <c r="J132" s="800"/>
      <c r="K132" s="800"/>
    </row>
    <row r="133" spans="1:11" ht="12" hidden="1" customHeight="1" x14ac:dyDescent="0.25">
      <c r="A133" s="800"/>
      <c r="B133" s="800"/>
      <c r="C133" s="800"/>
      <c r="D133" s="800"/>
      <c r="E133" s="800"/>
      <c r="F133" s="800"/>
      <c r="G133" s="800"/>
      <c r="H133" s="800"/>
      <c r="I133" s="800"/>
      <c r="J133" s="800"/>
      <c r="K133" s="800"/>
    </row>
    <row r="134" spans="1:11" ht="29.25" hidden="1" customHeight="1" x14ac:dyDescent="0.25">
      <c r="A134" s="800"/>
      <c r="B134" s="1867" t="s">
        <v>92</v>
      </c>
      <c r="C134" s="1868"/>
      <c r="D134" s="1857" t="s">
        <v>88</v>
      </c>
      <c r="E134" s="1857"/>
      <c r="F134" s="804" t="s">
        <v>131</v>
      </c>
      <c r="G134" s="804" t="s">
        <v>82</v>
      </c>
      <c r="H134" s="805" t="s">
        <v>83</v>
      </c>
      <c r="I134" s="800"/>
      <c r="J134" s="800"/>
      <c r="K134" s="800"/>
    </row>
    <row r="135" spans="1:11" hidden="1" x14ac:dyDescent="0.25">
      <c r="A135" s="800"/>
      <c r="B135" s="1864"/>
      <c r="C135" s="1865"/>
      <c r="D135" s="1864"/>
      <c r="E135" s="1865"/>
      <c r="F135" s="134"/>
      <c r="G135" s="135" t="str">
        <f>IF(OR(B135="",D135="",F135=""),"",D135*60*#REF!*4*F135/SUM($F$71:$F$74))</f>
        <v/>
      </c>
      <c r="H135" s="135" t="str">
        <f>IF(OR(B135="",D135="",F135=""),"",0.14*60*#REF!*4*F135/SUM($F$71:$F$74))</f>
        <v/>
      </c>
      <c r="I135" s="800"/>
      <c r="J135" s="800"/>
      <c r="K135" s="800"/>
    </row>
    <row r="136" spans="1:11" hidden="1" x14ac:dyDescent="0.25">
      <c r="A136" s="800"/>
      <c r="B136" s="1864"/>
      <c r="C136" s="1865"/>
      <c r="D136" s="1864"/>
      <c r="E136" s="1865"/>
      <c r="F136" s="134"/>
      <c r="G136" s="135" t="str">
        <f>IF(OR(B136="",D136="",F136=""),"",D136*60*#REF!*4*F136/SUM($F$71:$F$74))</f>
        <v/>
      </c>
      <c r="H136" s="135" t="str">
        <f>IF(OR(B136="",D136="",F136=""),"",0.14*60*#REF!*4*F136/SUM($F$71:$F$74))</f>
        <v/>
      </c>
      <c r="I136" s="800"/>
      <c r="J136" s="800"/>
      <c r="K136" s="800"/>
    </row>
    <row r="137" spans="1:11" hidden="1" x14ac:dyDescent="0.25">
      <c r="A137" s="800"/>
      <c r="B137" s="784"/>
      <c r="C137" s="785"/>
      <c r="D137" s="784"/>
      <c r="E137" s="785"/>
      <c r="F137" s="783"/>
      <c r="G137" s="782"/>
      <c r="H137" s="782"/>
      <c r="I137" s="800"/>
      <c r="J137" s="800"/>
      <c r="K137" s="800"/>
    </row>
    <row r="138" spans="1:11" hidden="1" x14ac:dyDescent="0.25">
      <c r="A138" s="800"/>
      <c r="B138" s="1864"/>
      <c r="C138" s="1865"/>
      <c r="D138" s="1864"/>
      <c r="E138" s="1865"/>
      <c r="F138" s="134"/>
      <c r="G138" s="135" t="str">
        <f>IF(OR(B138="",D138="",F138=""),"",D138*60*#REF!*4*F138/SUM($F$71:$F$74))</f>
        <v/>
      </c>
      <c r="H138" s="135" t="str">
        <f>IF(OR(B138="",D138="",F138=""),"",0.14*60*#REF!*4*F138/SUM($F$71:$F$74))</f>
        <v/>
      </c>
      <c r="I138" s="800"/>
      <c r="J138" s="800"/>
      <c r="K138" s="800"/>
    </row>
    <row r="139" spans="1:11" hidden="1" x14ac:dyDescent="0.25">
      <c r="A139" s="800"/>
      <c r="B139" s="800"/>
      <c r="C139" s="800"/>
      <c r="D139" s="800"/>
      <c r="E139" s="800"/>
      <c r="F139" s="800"/>
      <c r="G139" s="63">
        <f>SUM(G135:G138)</f>
        <v>0</v>
      </c>
      <c r="H139" s="63">
        <f>SUM(H135:H138)</f>
        <v>0</v>
      </c>
      <c r="I139" s="800"/>
      <c r="J139" s="800"/>
      <c r="K139" s="800"/>
    </row>
    <row r="140" spans="1:11" ht="9" customHeight="1" x14ac:dyDescent="0.25">
      <c r="A140" s="800"/>
      <c r="B140" s="800"/>
      <c r="C140" s="800"/>
      <c r="D140" s="800"/>
      <c r="E140" s="800"/>
      <c r="F140" s="800"/>
      <c r="G140" s="799"/>
      <c r="H140" s="799"/>
      <c r="I140" s="800"/>
      <c r="J140" s="800"/>
      <c r="K140" s="800"/>
    </row>
    <row r="141" spans="1:11" ht="16.5" customHeight="1" x14ac:dyDescent="0.25">
      <c r="A141" s="799"/>
      <c r="B141" s="1870" t="s">
        <v>132</v>
      </c>
      <c r="C141" s="1870"/>
      <c r="D141" s="934"/>
      <c r="E141" s="799"/>
      <c r="F141" s="799"/>
      <c r="G141" s="799"/>
      <c r="H141" s="799"/>
      <c r="I141" s="799"/>
      <c r="J141" s="799"/>
      <c r="K141" s="799"/>
    </row>
    <row r="142" spans="1:11" ht="16.5" customHeight="1" x14ac:dyDescent="0.25">
      <c r="A142" s="799"/>
      <c r="B142" s="1870" t="s">
        <v>133</v>
      </c>
      <c r="C142" s="1870"/>
      <c r="D142" s="934"/>
      <c r="E142" s="799"/>
      <c r="F142" s="799"/>
      <c r="G142" s="799"/>
      <c r="H142" s="799"/>
      <c r="I142" s="799"/>
      <c r="J142" s="799"/>
      <c r="K142" s="799"/>
    </row>
    <row r="143" spans="1:11" x14ac:dyDescent="0.25">
      <c r="A143" s="800"/>
      <c r="B143" s="800"/>
      <c r="C143" s="800"/>
      <c r="D143" s="800"/>
      <c r="E143" s="799"/>
      <c r="F143" s="799"/>
      <c r="G143" s="799"/>
      <c r="H143" s="799"/>
      <c r="I143" s="799"/>
      <c r="J143" s="799"/>
      <c r="K143" s="799"/>
    </row>
    <row r="144" spans="1:11" ht="18.75" customHeight="1" x14ac:dyDescent="0.25">
      <c r="A144" s="799"/>
      <c r="B144" s="1869" t="s">
        <v>239</v>
      </c>
      <c r="C144" s="1869"/>
      <c r="D144" s="1869"/>
      <c r="E144" s="64">
        <f>IF(OR(D141=0,D142=0),0,1-D141/D142)</f>
        <v>0</v>
      </c>
      <c r="F144" s="799"/>
      <c r="G144" s="799"/>
      <c r="H144" s="799"/>
      <c r="I144" s="799"/>
      <c r="J144" s="799"/>
      <c r="K144" s="799"/>
    </row>
    <row r="145" spans="1:11" ht="19.5" customHeight="1" x14ac:dyDescent="0.25">
      <c r="A145" s="800"/>
      <c r="B145" s="800"/>
      <c r="C145" s="800"/>
      <c r="D145" s="800"/>
      <c r="E145" s="800"/>
      <c r="F145" s="800"/>
      <c r="G145" s="800"/>
      <c r="H145" s="800"/>
      <c r="I145" s="800"/>
      <c r="J145" s="800"/>
      <c r="K145" s="800"/>
    </row>
    <row r="146" spans="1:11" ht="16.5" customHeight="1" x14ac:dyDescent="0.25">
      <c r="A146" s="1851" t="s">
        <v>97</v>
      </c>
      <c r="B146" s="1851"/>
      <c r="C146" s="1851"/>
      <c r="D146" s="800"/>
      <c r="E146" s="800"/>
      <c r="F146" s="800"/>
      <c r="G146" s="800"/>
      <c r="H146" s="800"/>
      <c r="I146" s="800"/>
      <c r="J146" s="800"/>
      <c r="K146" s="800"/>
    </row>
    <row r="147" spans="1:11" ht="15" customHeight="1" x14ac:dyDescent="0.25">
      <c r="A147" s="799"/>
      <c r="B147" s="799"/>
      <c r="C147" s="799"/>
      <c r="D147" s="799"/>
      <c r="E147" s="799"/>
      <c r="F147" s="799"/>
      <c r="G147" s="799"/>
      <c r="H147" s="799"/>
      <c r="I147" s="799"/>
      <c r="J147" s="799"/>
      <c r="K147" s="799"/>
    </row>
    <row r="148" spans="1:11" ht="18" customHeight="1" x14ac:dyDescent="0.25">
      <c r="A148" s="799"/>
      <c r="B148" s="1883" t="s">
        <v>1572</v>
      </c>
      <c r="C148" s="1883"/>
      <c r="D148" s="1883"/>
      <c r="E148" s="1883"/>
      <c r="F148" s="1883"/>
      <c r="G148" s="1883"/>
      <c r="H148" s="799"/>
      <c r="I148" s="799"/>
      <c r="J148" s="799"/>
      <c r="K148" s="799"/>
    </row>
    <row r="149" spans="1:11" ht="18" hidden="1" customHeight="1" x14ac:dyDescent="0.25">
      <c r="A149" s="799"/>
      <c r="B149" s="1871" t="s">
        <v>98</v>
      </c>
      <c r="C149" s="1872"/>
      <c r="D149" s="1872"/>
      <c r="E149" s="1872"/>
      <c r="F149" s="1872"/>
      <c r="G149" s="946" t="s">
        <v>1297</v>
      </c>
      <c r="H149" s="1878" t="s">
        <v>1298</v>
      </c>
      <c r="I149" s="1879"/>
      <c r="J149" s="799"/>
      <c r="K149" s="800"/>
    </row>
    <row r="150" spans="1:11" ht="30" hidden="1" customHeight="1" x14ac:dyDescent="0.25">
      <c r="A150" s="799"/>
      <c r="B150" s="1644"/>
      <c r="C150" s="1645"/>
      <c r="D150" s="1645"/>
      <c r="E150" s="1645"/>
      <c r="F150" s="1645"/>
      <c r="G150" s="821" t="s">
        <v>62</v>
      </c>
      <c r="H150" s="1625"/>
      <c r="I150" s="1662"/>
      <c r="J150" s="799"/>
      <c r="K150" s="799"/>
    </row>
    <row r="151" spans="1:11" ht="30" hidden="1" customHeight="1" x14ac:dyDescent="0.25">
      <c r="A151" s="799"/>
      <c r="B151" s="1644"/>
      <c r="C151" s="1645"/>
      <c r="D151" s="1645"/>
      <c r="E151" s="1645"/>
      <c r="F151" s="1645"/>
      <c r="G151" s="821" t="s">
        <v>62</v>
      </c>
      <c r="H151" s="1625"/>
      <c r="I151" s="1662"/>
      <c r="J151" s="799"/>
      <c r="K151" s="799"/>
    </row>
    <row r="152" spans="1:11" x14ac:dyDescent="0.25">
      <c r="A152" s="799"/>
      <c r="B152" s="395"/>
      <c r="C152" s="799"/>
      <c r="D152" s="799"/>
      <c r="E152" s="799"/>
      <c r="F152" s="799"/>
      <c r="G152" s="799"/>
      <c r="H152" s="799"/>
      <c r="I152" s="799"/>
      <c r="J152" s="799"/>
      <c r="K152" s="799"/>
    </row>
    <row r="153" spans="1:11" ht="16.5" customHeight="1" x14ac:dyDescent="0.25">
      <c r="A153" s="1851" t="s">
        <v>8</v>
      </c>
      <c r="B153" s="1851"/>
      <c r="C153" s="1851"/>
      <c r="D153" s="799"/>
      <c r="E153" s="799"/>
      <c r="F153" s="799"/>
      <c r="G153" s="799"/>
      <c r="H153" s="799"/>
      <c r="I153" s="799"/>
      <c r="J153" s="799"/>
      <c r="K153" s="799"/>
    </row>
    <row r="154" spans="1:11" ht="16.5" customHeight="1" x14ac:dyDescent="0.25">
      <c r="A154" s="799"/>
      <c r="B154" s="395"/>
      <c r="C154" s="395"/>
      <c r="D154" s="395"/>
      <c r="E154" s="395"/>
      <c r="F154" s="395"/>
      <c r="G154" s="395"/>
      <c r="H154" s="395"/>
      <c r="I154" s="395"/>
      <c r="J154" s="395"/>
      <c r="K154" s="395"/>
    </row>
    <row r="155" spans="1:11" ht="18" customHeight="1" x14ac:dyDescent="0.25">
      <c r="A155" s="799"/>
      <c r="B155" s="114" t="s">
        <v>19</v>
      </c>
      <c r="C155" s="8">
        <f>IF(F11="No",0,IF(E144&gt;=0.4,5,IF(E144&gt;=0.35,4,IF(E144&gt;=0.3,3,IF(E144&gt;=0.25,2,IF(E144&gt;=0.2,1,0))))))</f>
        <v>0</v>
      </c>
      <c r="D155" s="799"/>
      <c r="E155" s="799"/>
      <c r="F155" s="799"/>
      <c r="G155" s="799"/>
      <c r="H155" s="799"/>
      <c r="I155" s="799"/>
      <c r="J155" s="799"/>
      <c r="K155" s="799"/>
    </row>
    <row r="156" spans="1:11" ht="18" customHeight="1" collapsed="1" x14ac:dyDescent="0.25">
      <c r="A156" s="799"/>
      <c r="B156" s="122" t="s">
        <v>151</v>
      </c>
      <c r="C156" s="8" t="str">
        <f>IF(F11="No","No",IF(AND(COUNTIF(L82:L84,"Yes")=3,C155&gt;0),"Yes","No"))</f>
        <v>No</v>
      </c>
      <c r="D156" s="799"/>
      <c r="E156" s="799"/>
      <c r="F156" s="799"/>
      <c r="G156" s="799"/>
      <c r="H156" s="799"/>
      <c r="I156" s="799"/>
      <c r="J156" s="799"/>
      <c r="K156" s="799"/>
    </row>
    <row r="157" spans="1:11" ht="19.5" customHeight="1" x14ac:dyDescent="0.25">
      <c r="A157" s="799"/>
      <c r="B157" s="395"/>
      <c r="C157" s="395"/>
      <c r="D157" s="395"/>
      <c r="E157" s="395"/>
      <c r="F157" s="395"/>
      <c r="G157" s="395"/>
      <c r="H157" s="395"/>
      <c r="I157" s="395"/>
      <c r="J157" s="395"/>
      <c r="K157" s="395"/>
    </row>
    <row r="158" spans="1:11" ht="18" customHeight="1" x14ac:dyDescent="0.25">
      <c r="A158" s="1841" t="s">
        <v>1362</v>
      </c>
      <c r="B158" s="1841"/>
      <c r="C158" s="1841"/>
      <c r="D158" s="1841"/>
      <c r="E158" s="1841"/>
      <c r="F158" s="1841"/>
      <c r="G158" s="1841"/>
      <c r="H158" s="1841"/>
      <c r="I158" s="1841"/>
      <c r="J158" s="1841"/>
      <c r="K158" s="1841"/>
    </row>
    <row r="159" spans="1:11" ht="15" customHeight="1" x14ac:dyDescent="0.25">
      <c r="A159" s="800"/>
      <c r="B159" s="800"/>
      <c r="C159" s="800"/>
      <c r="D159" s="800"/>
      <c r="E159" s="800"/>
      <c r="F159" s="800"/>
      <c r="G159" s="800"/>
      <c r="H159" s="800"/>
      <c r="I159" s="800"/>
      <c r="J159" s="800"/>
      <c r="K159" s="800"/>
    </row>
    <row r="160" spans="1:11" ht="17.25" customHeight="1" x14ac:dyDescent="0.25">
      <c r="A160" s="165" t="s">
        <v>117</v>
      </c>
      <c r="B160" s="59"/>
      <c r="C160" s="59"/>
      <c r="D160" s="800"/>
      <c r="E160" s="800"/>
      <c r="F160" s="800"/>
      <c r="G160" s="800"/>
      <c r="H160" s="800"/>
      <c r="I160" s="800"/>
      <c r="J160" s="800"/>
      <c r="K160" s="800"/>
    </row>
    <row r="161" spans="1:12" x14ac:dyDescent="0.25">
      <c r="A161" s="800"/>
      <c r="B161" s="800"/>
      <c r="C161" s="800"/>
      <c r="D161" s="800"/>
      <c r="E161" s="800"/>
      <c r="F161" s="800"/>
      <c r="G161" s="800"/>
      <c r="H161" s="800"/>
      <c r="I161" s="800"/>
      <c r="J161" s="800"/>
      <c r="K161" s="800"/>
    </row>
    <row r="162" spans="1:12" ht="26.25" customHeight="1" x14ac:dyDescent="0.25">
      <c r="A162" s="800"/>
      <c r="B162" s="1861" t="s">
        <v>1689</v>
      </c>
      <c r="C162" s="1861"/>
      <c r="D162" s="1861"/>
      <c r="E162" s="1861"/>
      <c r="F162" s="1861"/>
      <c r="G162" s="1861"/>
      <c r="H162" s="1861"/>
      <c r="I162" s="1861"/>
      <c r="J162" s="1861"/>
      <c r="K162" s="395"/>
    </row>
    <row r="163" spans="1:12" x14ac:dyDescent="0.25">
      <c r="A163" s="800"/>
      <c r="B163" s="890"/>
      <c r="C163" s="890"/>
      <c r="D163" s="890"/>
      <c r="E163" s="890"/>
      <c r="F163" s="890"/>
      <c r="G163" s="890"/>
      <c r="H163" s="890"/>
      <c r="I163" s="890"/>
      <c r="J163" s="890"/>
      <c r="K163" s="395"/>
    </row>
    <row r="164" spans="1:12" x14ac:dyDescent="0.25">
      <c r="A164" s="800"/>
      <c r="B164" s="949" t="s">
        <v>371</v>
      </c>
      <c r="C164" s="511"/>
      <c r="D164" s="511"/>
      <c r="E164" s="512"/>
      <c r="F164" s="395"/>
      <c r="G164" s="395"/>
      <c r="H164" s="395"/>
      <c r="I164" s="395"/>
      <c r="J164" s="395"/>
      <c r="K164" s="395"/>
    </row>
    <row r="165" spans="1:12" x14ac:dyDescent="0.25">
      <c r="A165" s="800"/>
      <c r="B165" s="950" t="s">
        <v>372</v>
      </c>
      <c r="C165" s="513"/>
      <c r="D165" s="513"/>
      <c r="E165" s="514"/>
      <c r="F165" s="395"/>
      <c r="G165" s="395"/>
      <c r="H165" s="395"/>
      <c r="I165" s="395"/>
      <c r="J165" s="395"/>
      <c r="K165" s="395"/>
    </row>
    <row r="166" spans="1:12" x14ac:dyDescent="0.25">
      <c r="A166" s="800"/>
      <c r="B166" s="951" t="s">
        <v>2091</v>
      </c>
      <c r="C166" s="515"/>
      <c r="D166" s="515"/>
      <c r="E166" s="516"/>
      <c r="F166" s="395"/>
      <c r="G166" s="395"/>
      <c r="H166" s="395"/>
      <c r="I166" s="395"/>
      <c r="J166" s="395"/>
      <c r="K166" s="395"/>
    </row>
    <row r="167" spans="1:12" x14ac:dyDescent="0.25">
      <c r="A167" s="800"/>
      <c r="B167" s="395"/>
      <c r="C167" s="395"/>
      <c r="D167" s="395"/>
      <c r="E167" s="395"/>
      <c r="F167" s="395"/>
      <c r="G167" s="395"/>
      <c r="H167" s="395"/>
      <c r="I167" s="395"/>
      <c r="J167" s="395"/>
      <c r="K167" s="395"/>
    </row>
    <row r="168" spans="1:12" x14ac:dyDescent="0.25">
      <c r="A168" s="800"/>
      <c r="B168" s="933" t="s">
        <v>2003</v>
      </c>
      <c r="C168" s="395"/>
      <c r="D168" s="395"/>
      <c r="E168" s="395"/>
      <c r="F168" s="395"/>
      <c r="G168" s="395"/>
      <c r="H168" s="395"/>
      <c r="I168" s="395"/>
      <c r="J168" s="395"/>
      <c r="K168" s="395"/>
    </row>
    <row r="169" spans="1:12" x14ac:dyDescent="0.25">
      <c r="A169" s="395"/>
      <c r="B169" s="395"/>
      <c r="C169" s="395"/>
      <c r="D169" s="395"/>
      <c r="E169" s="395"/>
      <c r="F169" s="395"/>
      <c r="G169" s="395"/>
      <c r="H169" s="395"/>
      <c r="I169" s="395"/>
      <c r="J169" s="395"/>
      <c r="K169" s="395"/>
    </row>
    <row r="170" spans="1:12" ht="18" customHeight="1" x14ac:dyDescent="0.25">
      <c r="A170" s="395"/>
      <c r="B170" s="1884" t="str">
        <f>IF('Project information'!C7="Full Certification stage","• Have some water fixtures of the base building been replaced or altered?","• Will some water fixtures of the base building be replaced or altered?")</f>
        <v>• Will some water fixtures of the base building be replaced or altered?</v>
      </c>
      <c r="C170" s="1885"/>
      <c r="D170" s="1885"/>
      <c r="E170" s="1886"/>
      <c r="F170" s="939" t="s">
        <v>62</v>
      </c>
      <c r="G170" s="395"/>
      <c r="H170" s="395"/>
      <c r="I170" s="395"/>
      <c r="J170" s="395"/>
      <c r="K170" s="395"/>
    </row>
    <row r="171" spans="1:12" x14ac:dyDescent="0.25">
      <c r="A171" s="395"/>
      <c r="B171" s="395"/>
      <c r="C171" s="395"/>
      <c r="D171" s="395"/>
      <c r="E171" s="395"/>
      <c r="F171" s="395"/>
      <c r="G171" s="395"/>
      <c r="H171" s="395"/>
      <c r="I171" s="395"/>
      <c r="J171" s="395"/>
      <c r="K171" s="395"/>
    </row>
    <row r="172" spans="1:12" ht="26.25" customHeight="1" x14ac:dyDescent="0.25">
      <c r="A172" s="395"/>
      <c r="B172" s="963" t="s">
        <v>1574</v>
      </c>
      <c r="C172" s="1880" t="str">
        <f>IF('Project information'!C7="Full Certification stage","Water usage of the previous fixture","Water usage of the existing fixture")</f>
        <v>Water usage of the existing fixture</v>
      </c>
      <c r="D172" s="1880"/>
      <c r="E172" s="1880" t="str">
        <f>IF('Project information'!C7="Full Certification stage","Water usage of the new fixture","Water usage of the proposed fixture")</f>
        <v>Water usage of the proposed fixture</v>
      </c>
      <c r="F172" s="1880"/>
      <c r="G172" s="1880" t="s">
        <v>15</v>
      </c>
      <c r="H172" s="1874"/>
      <c r="I172" s="395"/>
      <c r="J172" s="395"/>
      <c r="K172" s="395"/>
    </row>
    <row r="173" spans="1:12" x14ac:dyDescent="0.25">
      <c r="A173" s="395"/>
      <c r="B173" s="962" t="s">
        <v>62</v>
      </c>
      <c r="C173" s="940"/>
      <c r="D173" s="965" t="str">
        <f>IF(OR($B173="Water-closet",$B173="Urinal"),"Litres per flush",IF(AND($B173&lt;&gt;"Select",$B173&lt;&gt;"Other"),"Litres per second",""))</f>
        <v/>
      </c>
      <c r="E173" s="940"/>
      <c r="F173" s="965" t="str">
        <f>IF(OR($B173="Water-closet",$B173="Urinal"),"Litres per flush",IF(AND($B173&lt;&gt;"Select",$B173&lt;&gt;"Other"),"Litres per second",""))</f>
        <v/>
      </c>
      <c r="G173" s="1881"/>
      <c r="H173" s="1882"/>
      <c r="I173" s="395"/>
      <c r="J173" s="395"/>
      <c r="K173" s="395"/>
      <c r="L173" s="37" t="str">
        <f>IF(B173="Select","/",IF(AND(E173="",C173=""),"/",IF(E173&lt;C173,"Yes","No")))</f>
        <v>/</v>
      </c>
    </row>
    <row r="174" spans="1:12" x14ac:dyDescent="0.25">
      <c r="A174" s="395"/>
      <c r="B174" s="962" t="s">
        <v>62</v>
      </c>
      <c r="C174" s="940"/>
      <c r="D174" s="965" t="str">
        <f t="shared" ref="D174:F177" si="8">IF(OR($B174="Water-closet",$B174="Urinal"),"Litres per flush",IF(AND($B174&lt;&gt;"Select",$B174&lt;&gt;"Other"),"Litres per second",""))</f>
        <v/>
      </c>
      <c r="E174" s="940"/>
      <c r="F174" s="965" t="str">
        <f t="shared" si="8"/>
        <v/>
      </c>
      <c r="G174" s="1881"/>
      <c r="H174" s="1882"/>
      <c r="I174" s="395"/>
      <c r="J174" s="395"/>
      <c r="K174" s="395"/>
      <c r="L174" s="37" t="str">
        <f t="shared" ref="L174:L177" si="9">IF(B174="Select","/",IF(AND(E174="",C174=""),"/",IF(E174&lt;C174,"Yes","No")))</f>
        <v>/</v>
      </c>
    </row>
    <row r="175" spans="1:12" x14ac:dyDescent="0.25">
      <c r="A175" s="395"/>
      <c r="B175" s="962" t="s">
        <v>62</v>
      </c>
      <c r="C175" s="940"/>
      <c r="D175" s="965" t="str">
        <f t="shared" si="8"/>
        <v/>
      </c>
      <c r="E175" s="940"/>
      <c r="F175" s="965" t="str">
        <f t="shared" si="8"/>
        <v/>
      </c>
      <c r="G175" s="1881"/>
      <c r="H175" s="1882"/>
      <c r="I175" s="395"/>
      <c r="J175" s="395"/>
      <c r="K175" s="395"/>
      <c r="L175" s="37" t="str">
        <f t="shared" si="9"/>
        <v>/</v>
      </c>
    </row>
    <row r="176" spans="1:12" x14ac:dyDescent="0.25">
      <c r="A176" s="395"/>
      <c r="B176" s="962" t="s">
        <v>62</v>
      </c>
      <c r="C176" s="940"/>
      <c r="D176" s="965" t="str">
        <f t="shared" si="8"/>
        <v/>
      </c>
      <c r="E176" s="940"/>
      <c r="F176" s="965" t="str">
        <f t="shared" si="8"/>
        <v/>
      </c>
      <c r="G176" s="1881"/>
      <c r="H176" s="1882"/>
      <c r="I176" s="395"/>
      <c r="J176" s="395"/>
      <c r="K176" s="395"/>
      <c r="L176" s="37" t="str">
        <f t="shared" si="9"/>
        <v>/</v>
      </c>
    </row>
    <row r="177" spans="1:12" x14ac:dyDescent="0.25">
      <c r="A177" s="395"/>
      <c r="B177" s="962" t="s">
        <v>62</v>
      </c>
      <c r="C177" s="940"/>
      <c r="D177" s="965" t="str">
        <f t="shared" si="8"/>
        <v/>
      </c>
      <c r="E177" s="940"/>
      <c r="F177" s="965" t="str">
        <f t="shared" si="8"/>
        <v/>
      </c>
      <c r="G177" s="1881"/>
      <c r="H177" s="1882"/>
      <c r="I177" s="395"/>
      <c r="J177" s="395"/>
      <c r="K177" s="395"/>
      <c r="L177" s="37" t="str">
        <f t="shared" si="9"/>
        <v>/</v>
      </c>
    </row>
    <row r="178" spans="1:12" ht="17.25" customHeight="1" x14ac:dyDescent="0.25">
      <c r="A178" s="395"/>
      <c r="B178" s="395"/>
      <c r="C178" s="395"/>
      <c r="D178" s="395"/>
      <c r="E178" s="395"/>
      <c r="F178" s="395"/>
      <c r="G178" s="395"/>
      <c r="H178" s="395"/>
      <c r="I178" s="395"/>
      <c r="J178" s="395"/>
      <c r="K178" s="395"/>
    </row>
    <row r="179" spans="1:12" ht="18" customHeight="1" x14ac:dyDescent="0.25">
      <c r="A179" s="395"/>
      <c r="B179" s="1869" t="s">
        <v>1690</v>
      </c>
      <c r="C179" s="1869"/>
      <c r="D179" s="1869"/>
      <c r="E179" s="64" t="str">
        <f>IF(AND(COUNTIF(L173:L177,"No")=0,COUNTIF(L173:L177,"Yes")&gt;0),"Yes","No")</f>
        <v>No</v>
      </c>
      <c r="F179" s="395"/>
      <c r="G179" s="395"/>
      <c r="H179" s="395"/>
      <c r="I179" s="395"/>
      <c r="J179" s="395"/>
      <c r="K179" s="395"/>
    </row>
    <row r="180" spans="1:12" ht="19.5" customHeight="1" x14ac:dyDescent="0.25">
      <c r="A180" s="395"/>
      <c r="B180" s="395"/>
      <c r="C180" s="395"/>
      <c r="D180" s="395"/>
      <c r="E180" s="395"/>
      <c r="F180" s="395"/>
      <c r="G180" s="395"/>
      <c r="H180" s="395"/>
      <c r="I180" s="395"/>
      <c r="J180" s="395"/>
      <c r="K180" s="395"/>
    </row>
    <row r="181" spans="1:12" ht="16.5" customHeight="1" x14ac:dyDescent="0.25">
      <c r="A181" s="165" t="s">
        <v>97</v>
      </c>
      <c r="B181" s="59"/>
      <c r="C181" s="59"/>
      <c r="D181" s="800"/>
      <c r="E181" s="800"/>
      <c r="F181" s="800"/>
      <c r="G181" s="800"/>
      <c r="H181" s="800"/>
      <c r="I181" s="800"/>
      <c r="J181" s="800"/>
      <c r="K181" s="800"/>
    </row>
    <row r="182" spans="1:12" x14ac:dyDescent="0.25">
      <c r="A182" s="799"/>
      <c r="B182" s="395"/>
      <c r="C182" s="395"/>
      <c r="D182" s="395"/>
      <c r="E182" s="395"/>
      <c r="F182" s="395"/>
      <c r="G182" s="395"/>
      <c r="H182" s="395"/>
      <c r="I182" s="799"/>
      <c r="J182" s="799"/>
      <c r="K182" s="799"/>
    </row>
    <row r="183" spans="1:12" ht="21" customHeight="1" x14ac:dyDescent="0.25">
      <c r="A183" s="799"/>
      <c r="B183" s="1871" t="s">
        <v>98</v>
      </c>
      <c r="C183" s="1872"/>
      <c r="D183" s="1872"/>
      <c r="E183" s="1872"/>
      <c r="F183" s="1872"/>
      <c r="G183" s="835" t="s">
        <v>1297</v>
      </c>
      <c r="H183" s="1878" t="s">
        <v>1298</v>
      </c>
      <c r="I183" s="1878"/>
      <c r="J183" s="799"/>
      <c r="K183" s="799"/>
    </row>
    <row r="184" spans="1:12" ht="30" customHeight="1" x14ac:dyDescent="0.25">
      <c r="A184" s="799"/>
      <c r="B184" s="1644" t="str">
        <f>Submittals!H45</f>
        <v>Select the Submission Stage in Project Information</v>
      </c>
      <c r="C184" s="1645"/>
      <c r="D184" s="1645"/>
      <c r="E184" s="1645"/>
      <c r="F184" s="1645"/>
      <c r="G184" s="821" t="s">
        <v>62</v>
      </c>
      <c r="H184" s="1625"/>
      <c r="I184" s="1662"/>
      <c r="J184" s="799"/>
      <c r="K184" s="799"/>
      <c r="L184" s="37" t="str">
        <f>IF(OR(B184="/",B184="No evidence required at this submission stage"),"Yes",IF(G184="Submitted","Yes","No"))</f>
        <v>No</v>
      </c>
    </row>
    <row r="185" spans="1:12" ht="30" customHeight="1" x14ac:dyDescent="0.25">
      <c r="A185" s="799"/>
      <c r="B185" s="1644" t="str">
        <f>Submittals!H46</f>
        <v>Select the Submission Stage in Project Information</v>
      </c>
      <c r="C185" s="1645"/>
      <c r="D185" s="1645"/>
      <c r="E185" s="1645"/>
      <c r="F185" s="1645"/>
      <c r="G185" s="1271" t="s">
        <v>62</v>
      </c>
      <c r="H185" s="1625"/>
      <c r="I185" s="1662"/>
      <c r="J185" s="799"/>
      <c r="K185" s="799"/>
      <c r="L185" s="37" t="str">
        <f>IF(OR(B185="/",B185="No evidence required at this submission stage"),"Yes",IF(OR(G185="Already approved at PC",G185="Submitted"),"Yes","No"))</f>
        <v>No</v>
      </c>
    </row>
    <row r="186" spans="1:12" ht="42" customHeight="1" x14ac:dyDescent="0.25">
      <c r="A186" s="799"/>
      <c r="B186" s="1644" t="str">
        <f>Submittals!H47</f>
        <v>Select the Submission Stage in Project Information</v>
      </c>
      <c r="C186" s="1645"/>
      <c r="D186" s="1645"/>
      <c r="E186" s="1645"/>
      <c r="F186" s="1645"/>
      <c r="G186" s="1271" t="s">
        <v>62</v>
      </c>
      <c r="H186" s="1625"/>
      <c r="I186" s="1626"/>
      <c r="J186" s="799"/>
      <c r="K186" s="799"/>
      <c r="L186" s="37" t="str">
        <f>IF(OR(B186="/",B186="No evidence required at this submission stage"),"Yes",IF(OR(G186="Already approved at PC",G186="Submitted"),"Yes","No"))</f>
        <v>No</v>
      </c>
    </row>
    <row r="187" spans="1:12" ht="19.5" customHeight="1" x14ac:dyDescent="0.25">
      <c r="A187" s="799"/>
      <c r="B187" s="395"/>
      <c r="C187" s="799"/>
      <c r="D187" s="799"/>
      <c r="E187" s="799"/>
      <c r="F187" s="799"/>
      <c r="G187" s="799"/>
      <c r="H187" s="799"/>
      <c r="I187" s="799"/>
      <c r="J187" s="799"/>
      <c r="K187" s="799"/>
    </row>
    <row r="188" spans="1:12" ht="16.5" customHeight="1" x14ac:dyDescent="0.25">
      <c r="A188" s="165" t="s">
        <v>8</v>
      </c>
      <c r="B188" s="59"/>
      <c r="C188" s="59"/>
      <c r="D188" s="799"/>
      <c r="E188" s="799"/>
      <c r="F188" s="799"/>
      <c r="G188" s="799"/>
      <c r="H188" s="799"/>
      <c r="I188" s="799"/>
      <c r="J188" s="799"/>
      <c r="K188" s="799"/>
    </row>
    <row r="189" spans="1:12" x14ac:dyDescent="0.25">
      <c r="A189" s="799"/>
      <c r="B189" s="395"/>
      <c r="C189" s="395"/>
      <c r="D189" s="395"/>
      <c r="E189" s="395"/>
      <c r="F189" s="395"/>
      <c r="G189" s="395"/>
      <c r="H189" s="395"/>
      <c r="I189" s="395"/>
      <c r="J189" s="395"/>
      <c r="K189" s="395"/>
    </row>
    <row r="190" spans="1:12" ht="18" customHeight="1" x14ac:dyDescent="0.25">
      <c r="A190" s="799"/>
      <c r="B190" s="114" t="s">
        <v>19</v>
      </c>
      <c r="C190" s="8">
        <f>IF(F11="No",0,IF(E179="Yes",1,0))</f>
        <v>0</v>
      </c>
      <c r="D190" s="799"/>
      <c r="E190" s="799"/>
      <c r="F190" s="799"/>
      <c r="G190" s="799"/>
      <c r="H190" s="799"/>
      <c r="I190" s="799"/>
      <c r="J190" s="799"/>
      <c r="K190" s="799"/>
    </row>
    <row r="191" spans="1:12" ht="18" customHeight="1" collapsed="1" x14ac:dyDescent="0.25">
      <c r="A191" s="799"/>
      <c r="B191" s="122" t="s">
        <v>151</v>
      </c>
      <c r="C191" s="964" t="str">
        <f>IF(F11="No","No",IF(AND(COUNTIF(L184:L186,"Yes")=3,C190&gt;0),"Yes","No"))</f>
        <v>No</v>
      </c>
      <c r="D191" s="799"/>
      <c r="E191" s="799"/>
      <c r="F191" s="799"/>
      <c r="G191" s="799"/>
      <c r="H191" s="799"/>
      <c r="I191" s="799"/>
      <c r="J191" s="799"/>
      <c r="K191" s="799"/>
    </row>
    <row r="192" spans="1:12" ht="24" customHeight="1" x14ac:dyDescent="0.25">
      <c r="A192" s="799"/>
      <c r="B192" s="395"/>
      <c r="C192" s="800"/>
      <c r="D192" s="395"/>
      <c r="E192" s="395"/>
      <c r="F192" s="395"/>
      <c r="G192" s="395"/>
      <c r="H192" s="395"/>
      <c r="I192" s="395"/>
      <c r="J192" s="395"/>
      <c r="K192" s="395"/>
    </row>
    <row r="193" spans="1:16" ht="18" customHeight="1" x14ac:dyDescent="0.25">
      <c r="A193" s="1841" t="s">
        <v>1363</v>
      </c>
      <c r="B193" s="1841"/>
      <c r="C193" s="1841"/>
      <c r="D193" s="1841"/>
      <c r="E193" s="1841"/>
      <c r="F193" s="1841"/>
      <c r="G193" s="1841"/>
      <c r="H193" s="1841"/>
      <c r="I193" s="1841"/>
      <c r="J193" s="1841"/>
      <c r="K193" s="1841"/>
    </row>
    <row r="194" spans="1:16" ht="15" customHeight="1" x14ac:dyDescent="0.25">
      <c r="A194" s="799"/>
      <c r="B194" s="395"/>
      <c r="C194" s="395"/>
      <c r="D194" s="395"/>
      <c r="E194" s="395"/>
      <c r="F194" s="395"/>
      <c r="G194" s="395"/>
      <c r="H194" s="395"/>
      <c r="I194" s="395"/>
      <c r="J194" s="395"/>
      <c r="K194" s="395"/>
    </row>
    <row r="195" spans="1:16" ht="16.5" customHeight="1" x14ac:dyDescent="0.25">
      <c r="A195" s="1851" t="s">
        <v>117</v>
      </c>
      <c r="B195" s="1851"/>
      <c r="C195" s="1851"/>
      <c r="D195" s="395"/>
      <c r="E195" s="395"/>
      <c r="F195" s="395"/>
      <c r="G195" s="395"/>
      <c r="H195" s="395"/>
      <c r="I195" s="395"/>
      <c r="J195" s="395"/>
      <c r="K195" s="395"/>
    </row>
    <row r="196" spans="1:16" ht="15" customHeight="1" x14ac:dyDescent="0.25">
      <c r="A196" s="799"/>
      <c r="B196" s="395"/>
      <c r="C196" s="395"/>
      <c r="D196" s="395"/>
      <c r="E196" s="395"/>
      <c r="F196" s="395"/>
      <c r="G196" s="395"/>
      <c r="H196" s="395"/>
      <c r="I196" s="395"/>
      <c r="J196" s="395"/>
      <c r="K196" s="395"/>
    </row>
    <row r="197" spans="1:16" ht="15" customHeight="1" x14ac:dyDescent="0.25">
      <c r="A197" s="799"/>
      <c r="B197" s="970" t="s">
        <v>1506</v>
      </c>
      <c r="C197" s="395"/>
      <c r="D197" s="395"/>
      <c r="E197" s="395"/>
      <c r="F197" s="395"/>
      <c r="G197" s="395"/>
      <c r="H197" s="395"/>
      <c r="I197" s="395"/>
      <c r="J197" s="395"/>
      <c r="K197" s="395"/>
    </row>
    <row r="198" spans="1:16" ht="15" customHeight="1" x14ac:dyDescent="0.25">
      <c r="A198" s="799"/>
      <c r="B198" s="395"/>
      <c r="C198" s="395"/>
      <c r="D198" s="395"/>
      <c r="E198" s="395"/>
      <c r="F198" s="395"/>
      <c r="G198" s="395"/>
      <c r="H198" s="395"/>
      <c r="I198" s="395"/>
      <c r="J198" s="395"/>
      <c r="K198" s="395"/>
    </row>
    <row r="199" spans="1:16" ht="15" customHeight="1" x14ac:dyDescent="0.25">
      <c r="A199" s="799"/>
      <c r="B199" s="911" t="s">
        <v>1698</v>
      </c>
      <c r="C199" s="395"/>
      <c r="D199" s="395"/>
      <c r="E199" s="395"/>
      <c r="F199" s="395"/>
      <c r="G199" s="395"/>
      <c r="H199" s="395"/>
      <c r="I199" s="395"/>
      <c r="J199" s="395"/>
      <c r="K199" s="395"/>
    </row>
    <row r="200" spans="1:16" ht="17.25" customHeight="1" x14ac:dyDescent="0.25">
      <c r="A200" s="799"/>
      <c r="B200" s="395"/>
      <c r="C200" s="395"/>
      <c r="D200" s="395"/>
      <c r="E200" s="395"/>
      <c r="F200" s="395"/>
      <c r="G200" s="395"/>
      <c r="H200" s="395"/>
      <c r="I200" s="395"/>
      <c r="J200" s="395"/>
      <c r="K200" s="395"/>
    </row>
    <row r="201" spans="1:16" x14ac:dyDescent="0.25">
      <c r="A201" s="395"/>
      <c r="B201" s="1888" t="s">
        <v>1573</v>
      </c>
      <c r="C201" s="1888"/>
      <c r="D201" s="1888"/>
      <c r="E201" s="1888"/>
      <c r="F201" s="395"/>
      <c r="G201" s="395"/>
      <c r="H201" s="395"/>
      <c r="I201" s="395"/>
      <c r="J201" s="395"/>
      <c r="K201" s="395"/>
      <c r="M201" s="37" t="s">
        <v>62</v>
      </c>
    </row>
    <row r="202" spans="1:16" ht="21" customHeight="1" x14ac:dyDescent="0.25">
      <c r="A202" s="395"/>
      <c r="B202" s="1862" t="s">
        <v>373</v>
      </c>
      <c r="C202" s="1863"/>
      <c r="D202" s="1874" t="s">
        <v>929</v>
      </c>
      <c r="E202" s="1862"/>
      <c r="F202" s="395"/>
      <c r="G202" s="395"/>
      <c r="H202" s="395"/>
      <c r="I202" s="395"/>
      <c r="J202" s="395"/>
      <c r="K202" s="395"/>
      <c r="M202" s="935" t="s">
        <v>1593</v>
      </c>
      <c r="N202" s="37" t="s">
        <v>1586</v>
      </c>
      <c r="O202" s="937" t="s">
        <v>375</v>
      </c>
      <c r="P202" s="937"/>
    </row>
    <row r="203" spans="1:16" ht="15.75" customHeight="1" x14ac:dyDescent="0.25">
      <c r="A203" s="395"/>
      <c r="B203" s="1832" t="s">
        <v>374</v>
      </c>
      <c r="C203" s="1832"/>
      <c r="D203" s="1832"/>
      <c r="E203" s="1832"/>
      <c r="F203" s="395"/>
      <c r="G203" s="395"/>
      <c r="H203" s="395"/>
      <c r="I203" s="395"/>
      <c r="J203" s="395"/>
      <c r="K203" s="395"/>
      <c r="M203" s="37" t="s">
        <v>376</v>
      </c>
      <c r="N203" s="37" t="s">
        <v>1592</v>
      </c>
      <c r="O203" s="937" t="s">
        <v>377</v>
      </c>
      <c r="P203" s="937">
        <v>120</v>
      </c>
    </row>
    <row r="204" spans="1:16" ht="30.75" customHeight="1" x14ac:dyDescent="0.25">
      <c r="A204" s="395"/>
      <c r="B204" s="1831" t="s">
        <v>405</v>
      </c>
      <c r="C204" s="1831"/>
      <c r="D204" s="1831" t="s">
        <v>375</v>
      </c>
      <c r="E204" s="1831"/>
      <c r="F204" s="395"/>
      <c r="G204" s="395"/>
      <c r="H204" s="395"/>
      <c r="I204" s="395"/>
      <c r="J204" s="395"/>
      <c r="K204" s="395"/>
      <c r="M204" s="37" t="s">
        <v>379</v>
      </c>
      <c r="N204" s="37" t="s">
        <v>1588</v>
      </c>
      <c r="O204" s="937" t="s">
        <v>380</v>
      </c>
      <c r="P204" s="937">
        <v>1000</v>
      </c>
    </row>
    <row r="205" spans="1:16" ht="15.75" customHeight="1" x14ac:dyDescent="0.25">
      <c r="A205" s="395"/>
      <c r="B205" s="1831" t="s">
        <v>376</v>
      </c>
      <c r="C205" s="1831"/>
      <c r="D205" s="1831" t="s">
        <v>377</v>
      </c>
      <c r="E205" s="1831"/>
      <c r="F205" s="395"/>
      <c r="G205" s="395"/>
      <c r="H205" s="395"/>
      <c r="I205" s="395"/>
      <c r="J205" s="395"/>
      <c r="K205" s="395"/>
      <c r="M205" s="37" t="s">
        <v>381</v>
      </c>
      <c r="N205" s="37" t="s">
        <v>1587</v>
      </c>
      <c r="O205" s="937" t="s">
        <v>382</v>
      </c>
      <c r="P205" s="937">
        <v>4.9000000000000004</v>
      </c>
    </row>
    <row r="206" spans="1:16" ht="15.75" customHeight="1" x14ac:dyDescent="0.25">
      <c r="A206" s="395"/>
      <c r="B206" s="1832" t="s">
        <v>378</v>
      </c>
      <c r="C206" s="1832"/>
      <c r="D206" s="1832"/>
      <c r="E206" s="1832"/>
      <c r="F206" s="395"/>
      <c r="G206" s="395"/>
      <c r="H206" s="395"/>
      <c r="I206" s="395"/>
      <c r="J206" s="395"/>
      <c r="K206" s="395"/>
      <c r="M206" s="37" t="s">
        <v>383</v>
      </c>
      <c r="N206" s="37" t="s">
        <v>1586</v>
      </c>
      <c r="O206" s="937" t="s">
        <v>384</v>
      </c>
      <c r="P206" s="937"/>
    </row>
    <row r="207" spans="1:16" ht="15" customHeight="1" x14ac:dyDescent="0.25">
      <c r="A207" s="395"/>
      <c r="B207" s="1831" t="s">
        <v>379</v>
      </c>
      <c r="C207" s="1831"/>
      <c r="D207" s="1831" t="s">
        <v>380</v>
      </c>
      <c r="E207" s="1831"/>
      <c r="F207" s="395"/>
      <c r="G207" s="395"/>
      <c r="H207" s="395"/>
      <c r="I207" s="395"/>
      <c r="J207" s="395"/>
      <c r="K207" s="395"/>
      <c r="M207" s="37" t="s">
        <v>1576</v>
      </c>
      <c r="N207" s="37" t="s">
        <v>1585</v>
      </c>
      <c r="O207" s="937" t="s">
        <v>387</v>
      </c>
      <c r="P207" s="937">
        <v>6</v>
      </c>
    </row>
    <row r="208" spans="1:16" ht="15.75" customHeight="1" x14ac:dyDescent="0.25">
      <c r="A208" s="395"/>
      <c r="B208" s="1831" t="s">
        <v>381</v>
      </c>
      <c r="C208" s="1831"/>
      <c r="D208" s="1831" t="s">
        <v>382</v>
      </c>
      <c r="E208" s="1831"/>
      <c r="F208" s="395"/>
      <c r="G208" s="395"/>
      <c r="H208" s="395"/>
      <c r="I208" s="395"/>
      <c r="J208" s="395"/>
      <c r="K208" s="395"/>
      <c r="M208" s="37" t="s">
        <v>1584</v>
      </c>
      <c r="N208" s="37" t="s">
        <v>1585</v>
      </c>
      <c r="O208" s="937" t="s">
        <v>389</v>
      </c>
      <c r="P208" s="937">
        <v>5.3</v>
      </c>
    </row>
    <row r="209" spans="1:16" ht="54" customHeight="1" x14ac:dyDescent="0.25">
      <c r="A209" s="395"/>
      <c r="B209" s="1831" t="s">
        <v>383</v>
      </c>
      <c r="C209" s="1831"/>
      <c r="D209" s="1831" t="s">
        <v>384</v>
      </c>
      <c r="E209" s="1831"/>
      <c r="F209" s="395"/>
      <c r="G209" s="395"/>
      <c r="H209" s="395"/>
      <c r="I209" s="395"/>
      <c r="J209" s="395"/>
      <c r="K209" s="395"/>
      <c r="M209" s="37" t="s">
        <v>1583</v>
      </c>
      <c r="N209" s="37" t="s">
        <v>1589</v>
      </c>
      <c r="O209" s="937" t="s">
        <v>391</v>
      </c>
      <c r="P209" s="937">
        <v>3.8</v>
      </c>
    </row>
    <row r="210" spans="1:16" ht="15" customHeight="1" x14ac:dyDescent="0.25">
      <c r="A210" s="395"/>
      <c r="B210" s="1832" t="s">
        <v>385</v>
      </c>
      <c r="C210" s="1832"/>
      <c r="D210" s="1832"/>
      <c r="E210" s="1832"/>
      <c r="F210" s="395"/>
      <c r="G210" s="395"/>
      <c r="H210" s="395"/>
      <c r="I210" s="395"/>
      <c r="J210" s="395"/>
      <c r="K210" s="395"/>
      <c r="M210" s="37" t="s">
        <v>1582</v>
      </c>
      <c r="N210" s="37" t="s">
        <v>1589</v>
      </c>
      <c r="O210" s="937" t="s">
        <v>393</v>
      </c>
      <c r="P210" s="937">
        <v>3.4</v>
      </c>
    </row>
    <row r="211" spans="1:16" ht="15" customHeight="1" x14ac:dyDescent="0.25">
      <c r="A211" s="395"/>
      <c r="B211" s="1873" t="s">
        <v>287</v>
      </c>
      <c r="C211" s="323" t="s">
        <v>386</v>
      </c>
      <c r="D211" s="1831" t="s">
        <v>387</v>
      </c>
      <c r="E211" s="1831"/>
      <c r="F211" s="395"/>
      <c r="G211" s="395"/>
      <c r="H211" s="395"/>
      <c r="I211" s="395"/>
      <c r="J211" s="395"/>
      <c r="K211" s="395"/>
      <c r="M211" s="37" t="s">
        <v>1581</v>
      </c>
      <c r="N211" s="37" t="s">
        <v>1590</v>
      </c>
      <c r="O211" s="937" t="s">
        <v>395</v>
      </c>
      <c r="P211" s="937">
        <v>680</v>
      </c>
    </row>
    <row r="212" spans="1:16" ht="25.5" x14ac:dyDescent="0.25">
      <c r="A212" s="395"/>
      <c r="B212" s="1873"/>
      <c r="C212" s="323" t="s">
        <v>388</v>
      </c>
      <c r="D212" s="1831" t="s">
        <v>389</v>
      </c>
      <c r="E212" s="1831"/>
      <c r="F212" s="395"/>
      <c r="G212" s="395"/>
      <c r="H212" s="395"/>
      <c r="I212" s="395"/>
      <c r="J212" s="395"/>
      <c r="K212" s="395"/>
      <c r="M212" s="37" t="s">
        <v>1579</v>
      </c>
      <c r="N212" s="37" t="s">
        <v>1591</v>
      </c>
      <c r="O212" s="937" t="s">
        <v>398</v>
      </c>
      <c r="P212" s="937">
        <v>23</v>
      </c>
    </row>
    <row r="213" spans="1:16" ht="15" customHeight="1" x14ac:dyDescent="0.25">
      <c r="A213" s="395"/>
      <c r="B213" s="1873"/>
      <c r="C213" s="323" t="s">
        <v>390</v>
      </c>
      <c r="D213" s="1831" t="s">
        <v>391</v>
      </c>
      <c r="E213" s="1831"/>
      <c r="F213" s="395"/>
      <c r="G213" s="395"/>
      <c r="H213" s="395"/>
      <c r="I213" s="395"/>
      <c r="J213" s="395"/>
      <c r="K213" s="395"/>
      <c r="M213" s="37" t="s">
        <v>1580</v>
      </c>
      <c r="N213" s="37" t="s">
        <v>1591</v>
      </c>
      <c r="O213" s="937" t="s">
        <v>400</v>
      </c>
      <c r="P213" s="937">
        <v>38</v>
      </c>
    </row>
    <row r="214" spans="1:16" ht="15" customHeight="1" x14ac:dyDescent="0.25">
      <c r="A214" s="395"/>
      <c r="B214" s="1873"/>
      <c r="C214" s="323" t="s">
        <v>392</v>
      </c>
      <c r="D214" s="1831" t="s">
        <v>393</v>
      </c>
      <c r="E214" s="1831"/>
      <c r="F214" s="395"/>
      <c r="G214" s="395"/>
      <c r="H214" s="395"/>
      <c r="I214" s="395"/>
      <c r="J214" s="395"/>
      <c r="K214" s="395"/>
      <c r="M214" s="37" t="s">
        <v>1578</v>
      </c>
      <c r="N214" s="37" t="s">
        <v>1591</v>
      </c>
      <c r="O214" s="937" t="s">
        <v>403</v>
      </c>
      <c r="P214" s="937">
        <v>13</v>
      </c>
    </row>
    <row r="215" spans="1:16" ht="15" customHeight="1" x14ac:dyDescent="0.25">
      <c r="A215" s="395"/>
      <c r="B215" s="1873"/>
      <c r="C215" s="323" t="s">
        <v>394</v>
      </c>
      <c r="D215" s="1831" t="s">
        <v>395</v>
      </c>
      <c r="E215" s="1831"/>
      <c r="F215" s="395"/>
      <c r="G215" s="395"/>
      <c r="H215" s="395"/>
      <c r="I215" s="395"/>
      <c r="J215" s="395"/>
      <c r="K215" s="395"/>
      <c r="M215" s="37" t="s">
        <v>1577</v>
      </c>
      <c r="N215" s="37" t="s">
        <v>1591</v>
      </c>
      <c r="O215" s="937" t="s">
        <v>403</v>
      </c>
      <c r="P215" s="937">
        <v>13</v>
      </c>
    </row>
    <row r="216" spans="1:16" x14ac:dyDescent="0.25">
      <c r="A216" s="395"/>
      <c r="B216" s="1873" t="s">
        <v>396</v>
      </c>
      <c r="C216" s="323" t="s">
        <v>397</v>
      </c>
      <c r="D216" s="1831" t="s">
        <v>398</v>
      </c>
      <c r="E216" s="1831"/>
      <c r="F216" s="395"/>
      <c r="G216" s="395"/>
      <c r="H216" s="395"/>
      <c r="I216" s="395"/>
      <c r="J216" s="395"/>
      <c r="K216" s="395"/>
    </row>
    <row r="217" spans="1:16" x14ac:dyDescent="0.25">
      <c r="A217" s="395"/>
      <c r="B217" s="1873"/>
      <c r="C217" s="323" t="s">
        <v>399</v>
      </c>
      <c r="D217" s="1831" t="s">
        <v>400</v>
      </c>
      <c r="E217" s="1831"/>
      <c r="F217" s="395"/>
      <c r="G217" s="395"/>
      <c r="H217" s="395"/>
      <c r="I217" s="395"/>
      <c r="J217" s="395"/>
      <c r="K217" s="395"/>
    </row>
    <row r="218" spans="1:16" x14ac:dyDescent="0.25">
      <c r="A218" s="395"/>
      <c r="B218" s="1873" t="s">
        <v>401</v>
      </c>
      <c r="C218" s="323" t="s">
        <v>402</v>
      </c>
      <c r="D218" s="1831" t="s">
        <v>403</v>
      </c>
      <c r="E218" s="1831"/>
      <c r="F218" s="395"/>
      <c r="G218" s="395"/>
      <c r="H218" s="395"/>
      <c r="I218" s="395"/>
      <c r="J218" s="395"/>
      <c r="K218" s="395"/>
    </row>
    <row r="219" spans="1:16" x14ac:dyDescent="0.25">
      <c r="A219" s="395"/>
      <c r="B219" s="1873"/>
      <c r="C219" s="323" t="s">
        <v>404</v>
      </c>
      <c r="D219" s="1831" t="s">
        <v>403</v>
      </c>
      <c r="E219" s="1831"/>
      <c r="F219" s="395"/>
      <c r="G219" s="395"/>
      <c r="H219" s="395"/>
      <c r="I219" s="395"/>
      <c r="J219" s="395"/>
      <c r="K219" s="395"/>
    </row>
    <row r="220" spans="1:16" x14ac:dyDescent="0.25">
      <c r="A220" s="395"/>
      <c r="B220" s="395"/>
      <c r="C220" s="395"/>
      <c r="D220" s="395"/>
      <c r="E220" s="395"/>
      <c r="F220" s="395"/>
      <c r="G220" s="395"/>
      <c r="H220" s="395"/>
      <c r="I220" s="395"/>
      <c r="J220" s="395"/>
      <c r="K220" s="395"/>
    </row>
    <row r="221" spans="1:16" x14ac:dyDescent="0.25">
      <c r="A221" s="395"/>
      <c r="B221" s="933" t="s">
        <v>1594</v>
      </c>
      <c r="C221" s="395"/>
      <c r="D221" s="395"/>
      <c r="E221" s="395"/>
      <c r="F221" s="395"/>
      <c r="G221" s="395"/>
      <c r="H221" s="395"/>
      <c r="I221" s="395"/>
      <c r="J221" s="395"/>
      <c r="K221" s="395"/>
    </row>
    <row r="222" spans="1:16" ht="11.25" customHeight="1" x14ac:dyDescent="0.25">
      <c r="A222" s="395"/>
      <c r="B222" s="395"/>
      <c r="C222" s="395"/>
      <c r="D222" s="395"/>
      <c r="E222" s="395"/>
      <c r="F222" s="395"/>
      <c r="G222" s="395"/>
      <c r="H222" s="395"/>
      <c r="I222" s="395"/>
      <c r="J222" s="395"/>
      <c r="K222" s="395"/>
    </row>
    <row r="223" spans="1:16" ht="18" customHeight="1" x14ac:dyDescent="0.25">
      <c r="A223" s="395"/>
      <c r="B223" s="1889" t="s">
        <v>78</v>
      </c>
      <c r="C223" s="1890"/>
      <c r="D223" s="1233" t="s">
        <v>153</v>
      </c>
      <c r="E223" s="1827" t="s">
        <v>1575</v>
      </c>
      <c r="F223" s="1828"/>
      <c r="G223" s="1827" t="s">
        <v>929</v>
      </c>
      <c r="H223" s="1828"/>
      <c r="I223" s="1230" t="s">
        <v>89</v>
      </c>
      <c r="J223" s="395"/>
      <c r="K223" s="395"/>
      <c r="L223" s="395"/>
    </row>
    <row r="224" spans="1:16" ht="26.1" customHeight="1" x14ac:dyDescent="0.25">
      <c r="A224" s="395"/>
      <c r="B224" s="1887" t="s">
        <v>62</v>
      </c>
      <c r="C224" s="1887"/>
      <c r="D224" s="1232"/>
      <c r="E224" s="1232"/>
      <c r="F224" s="936" t="str">
        <f>IF(VLOOKUP(B224,$M$201:$N$215,2,FALSE)=0,"",VLOOKUP(B224,$M$201:$N$215,2,FALSE))</f>
        <v/>
      </c>
      <c r="G224" s="1829" t="str">
        <f t="shared" ref="G224:G231" si="10">IFERROR(VLOOKUP(B224,$M$209:$O$222,3,FALSE),"")</f>
        <v/>
      </c>
      <c r="H224" s="1830"/>
      <c r="I224" s="1231" t="str">
        <f>IF(B224="Select","",IF(E224="","No",IF(OR(AND(F224="ENERGY STAR or equivalent",E224="Compliant"),E224&lt;=VLOOKUP(B224,$M$208:$P$222,4,FALSE)),"Yes","No")))</f>
        <v/>
      </c>
      <c r="J224" s="395"/>
      <c r="K224" s="395"/>
      <c r="L224" s="395"/>
    </row>
    <row r="225" spans="1:13" ht="26.1" customHeight="1" x14ac:dyDescent="0.25">
      <c r="A225" s="395"/>
      <c r="B225" s="1887" t="s">
        <v>62</v>
      </c>
      <c r="C225" s="1887"/>
      <c r="D225" s="1232"/>
      <c r="E225" s="1232"/>
      <c r="F225" s="936" t="str">
        <f t="shared" ref="F225:F231" si="11">IF(VLOOKUP(B225,$M$201:$N$215,2,FALSE)=0,"",VLOOKUP(B225,$M$201:$N$215,2,FALSE))</f>
        <v/>
      </c>
      <c r="G225" s="1824" t="str">
        <f t="shared" si="10"/>
        <v/>
      </c>
      <c r="H225" s="1825"/>
      <c r="I225" s="1231" t="str">
        <f t="shared" ref="I225:I231" si="12">IF(B225="Select","",IF(E225="","No",IF(OR(E225="Compliant",E225&lt;=VLOOKUP(B225,$M$208:$P$222,4,FALSE)),"Yes","No")))</f>
        <v/>
      </c>
      <c r="J225" s="395"/>
      <c r="K225" s="395"/>
      <c r="L225" s="395"/>
    </row>
    <row r="226" spans="1:13" ht="26.1" customHeight="1" x14ac:dyDescent="0.25">
      <c r="A226" s="395"/>
      <c r="B226" s="1887" t="s">
        <v>62</v>
      </c>
      <c r="C226" s="1887"/>
      <c r="D226" s="1232"/>
      <c r="E226" s="1232"/>
      <c r="F226" s="936" t="str">
        <f t="shared" si="11"/>
        <v/>
      </c>
      <c r="G226" s="1824" t="str">
        <f t="shared" si="10"/>
        <v/>
      </c>
      <c r="H226" s="1825"/>
      <c r="I226" s="1231" t="str">
        <f t="shared" si="12"/>
        <v/>
      </c>
      <c r="J226" s="395"/>
      <c r="K226" s="395"/>
      <c r="L226" s="395"/>
    </row>
    <row r="227" spans="1:13" ht="26.1" customHeight="1" x14ac:dyDescent="0.25">
      <c r="A227" s="395"/>
      <c r="B227" s="1887" t="s">
        <v>62</v>
      </c>
      <c r="C227" s="1887"/>
      <c r="D227" s="1232"/>
      <c r="E227" s="1232"/>
      <c r="F227" s="936" t="str">
        <f t="shared" si="11"/>
        <v/>
      </c>
      <c r="G227" s="1824" t="str">
        <f t="shared" si="10"/>
        <v/>
      </c>
      <c r="H227" s="1825"/>
      <c r="I227" s="1231" t="str">
        <f t="shared" si="12"/>
        <v/>
      </c>
      <c r="J227" s="395"/>
      <c r="K227" s="395"/>
      <c r="L227" s="395"/>
    </row>
    <row r="228" spans="1:13" ht="26.1" customHeight="1" x14ac:dyDescent="0.25">
      <c r="A228" s="395"/>
      <c r="B228" s="1887" t="s">
        <v>62</v>
      </c>
      <c r="C228" s="1887"/>
      <c r="D228" s="1232"/>
      <c r="E228" s="1232"/>
      <c r="F228" s="936" t="str">
        <f t="shared" si="11"/>
        <v/>
      </c>
      <c r="G228" s="1824" t="str">
        <f t="shared" si="10"/>
        <v/>
      </c>
      <c r="H228" s="1825"/>
      <c r="I228" s="1231" t="str">
        <f t="shared" si="12"/>
        <v/>
      </c>
      <c r="J228" s="395"/>
      <c r="K228" s="395"/>
      <c r="L228" s="395"/>
    </row>
    <row r="229" spans="1:13" ht="26.1" customHeight="1" x14ac:dyDescent="0.25">
      <c r="A229" s="395"/>
      <c r="B229" s="1887" t="s">
        <v>62</v>
      </c>
      <c r="C229" s="1887"/>
      <c r="D229" s="1232"/>
      <c r="E229" s="1232"/>
      <c r="F229" s="936" t="str">
        <f t="shared" si="11"/>
        <v/>
      </c>
      <c r="G229" s="1824" t="str">
        <f t="shared" si="10"/>
        <v/>
      </c>
      <c r="H229" s="1825"/>
      <c r="I229" s="1231" t="str">
        <f t="shared" si="12"/>
        <v/>
      </c>
      <c r="J229" s="395"/>
      <c r="K229" s="395"/>
      <c r="L229" s="395"/>
    </row>
    <row r="230" spans="1:13" ht="26.1" customHeight="1" x14ac:dyDescent="0.25">
      <c r="A230" s="395"/>
      <c r="B230" s="1887" t="s">
        <v>62</v>
      </c>
      <c r="C230" s="1887"/>
      <c r="D230" s="1232"/>
      <c r="E230" s="1232"/>
      <c r="F230" s="936" t="str">
        <f t="shared" si="11"/>
        <v/>
      </c>
      <c r="G230" s="1824" t="str">
        <f t="shared" si="10"/>
        <v/>
      </c>
      <c r="H230" s="1825"/>
      <c r="I230" s="1231" t="str">
        <f t="shared" si="12"/>
        <v/>
      </c>
      <c r="J230" s="395"/>
      <c r="K230" s="395"/>
      <c r="L230" s="395"/>
    </row>
    <row r="231" spans="1:13" ht="26.1" customHeight="1" x14ac:dyDescent="0.25">
      <c r="A231" s="395"/>
      <c r="B231" s="1887" t="s">
        <v>62</v>
      </c>
      <c r="C231" s="1887"/>
      <c r="D231" s="1232"/>
      <c r="E231" s="1232"/>
      <c r="F231" s="936" t="str">
        <f t="shared" si="11"/>
        <v/>
      </c>
      <c r="G231" s="1824" t="str">
        <f t="shared" si="10"/>
        <v/>
      </c>
      <c r="H231" s="1825"/>
      <c r="I231" s="1231" t="str">
        <f t="shared" si="12"/>
        <v/>
      </c>
      <c r="J231" s="395"/>
      <c r="K231" s="395"/>
      <c r="L231" s="395"/>
    </row>
    <row r="232" spans="1:13" x14ac:dyDescent="0.25">
      <c r="A232" s="395"/>
      <c r="B232" s="395"/>
      <c r="C232" s="395"/>
      <c r="D232" s="395"/>
      <c r="E232" s="395"/>
      <c r="F232" s="395"/>
      <c r="G232" s="395"/>
      <c r="H232" s="395"/>
      <c r="I232" s="395"/>
      <c r="J232" s="395"/>
      <c r="K232" s="395"/>
    </row>
    <row r="233" spans="1:13" ht="19.5" customHeight="1" x14ac:dyDescent="0.25">
      <c r="A233" s="395"/>
      <c r="B233" s="1869" t="s">
        <v>1699</v>
      </c>
      <c r="C233" s="1869"/>
      <c r="D233" s="1869"/>
      <c r="E233" s="64" t="str">
        <f>IF(COUNTIF(I224:I231,"No")&gt;0,"No",IF(COUNTIF(I224:I231,"Yes")&gt;0,"Yes","No"))</f>
        <v>No</v>
      </c>
      <c r="F233" s="395"/>
      <c r="G233" s="395"/>
      <c r="H233" s="395"/>
      <c r="I233" s="395"/>
      <c r="J233" s="395"/>
      <c r="K233" s="395"/>
    </row>
    <row r="234" spans="1:13" ht="20.25" customHeight="1" x14ac:dyDescent="0.25">
      <c r="A234" s="395"/>
      <c r="B234" s="395"/>
      <c r="C234" s="395"/>
      <c r="D234" s="395"/>
      <c r="E234" s="395"/>
      <c r="F234" s="395"/>
      <c r="G234" s="395"/>
      <c r="H234" s="395"/>
      <c r="I234" s="395"/>
      <c r="J234" s="395"/>
      <c r="K234" s="395"/>
    </row>
    <row r="235" spans="1:13" ht="16.5" customHeight="1" x14ac:dyDescent="0.25">
      <c r="A235" s="165" t="s">
        <v>97</v>
      </c>
      <c r="B235" s="59"/>
      <c r="C235" s="59"/>
      <c r="D235" s="800"/>
      <c r="E235" s="800"/>
      <c r="F235" s="800"/>
      <c r="G235" s="800"/>
      <c r="H235" s="800"/>
      <c r="I235" s="800"/>
      <c r="J235" s="800"/>
      <c r="K235" s="800"/>
      <c r="M235" s="49"/>
    </row>
    <row r="236" spans="1:13" ht="16.5" customHeight="1" x14ac:dyDescent="0.25">
      <c r="A236" s="799"/>
      <c r="B236" s="395"/>
      <c r="C236" s="395"/>
      <c r="D236" s="395"/>
      <c r="E236" s="395"/>
      <c r="F236" s="395"/>
      <c r="G236" s="395"/>
      <c r="H236" s="395"/>
      <c r="I236" s="799"/>
      <c r="J236" s="799"/>
      <c r="K236" s="799"/>
      <c r="M236" s="49"/>
    </row>
    <row r="237" spans="1:13" ht="18" customHeight="1" x14ac:dyDescent="0.25">
      <c r="A237" s="799"/>
      <c r="B237" s="1871" t="s">
        <v>98</v>
      </c>
      <c r="C237" s="1872"/>
      <c r="D237" s="1872"/>
      <c r="E237" s="1872"/>
      <c r="F237" s="1872"/>
      <c r="G237" s="835" t="s">
        <v>1297</v>
      </c>
      <c r="H237" s="1878" t="s">
        <v>1298</v>
      </c>
      <c r="I237" s="1878"/>
      <c r="J237" s="799"/>
      <c r="K237" s="799"/>
    </row>
    <row r="238" spans="1:13" ht="30" customHeight="1" x14ac:dyDescent="0.25">
      <c r="A238" s="799"/>
      <c r="B238" s="1644" t="str">
        <f>Submittals!H48</f>
        <v>Select the Submission Stage in Project Information</v>
      </c>
      <c r="C238" s="1645"/>
      <c r="D238" s="1645"/>
      <c r="E238" s="1645"/>
      <c r="F238" s="1645"/>
      <c r="G238" s="821" t="s">
        <v>62</v>
      </c>
      <c r="H238" s="1625"/>
      <c r="I238" s="1662"/>
      <c r="J238" s="799"/>
      <c r="K238" s="799"/>
      <c r="L238" s="37" t="str">
        <f>IF(OR(B238="/",B238="No evidence required at this submission stage"),"Yes",IF(G238="Submitted","Yes","No"))</f>
        <v>No</v>
      </c>
    </row>
    <row r="239" spans="1:13" ht="30" customHeight="1" x14ac:dyDescent="0.25">
      <c r="A239" s="799"/>
      <c r="B239" s="1644" t="str">
        <f>Submittals!H49</f>
        <v>Select the Submission Stage in Project Information</v>
      </c>
      <c r="C239" s="1645"/>
      <c r="D239" s="1645"/>
      <c r="E239" s="1645"/>
      <c r="F239" s="1645"/>
      <c r="G239" s="821" t="s">
        <v>62</v>
      </c>
      <c r="H239" s="1625"/>
      <c r="I239" s="1662"/>
      <c r="J239" s="799"/>
      <c r="K239" s="799"/>
      <c r="L239" s="37" t="str">
        <f t="shared" ref="L239" si="13">IF(OR(B239="/",B239="No evidence required at this submission stage"),"Yes",IF(G239="Submitted","Yes","No"))</f>
        <v>No</v>
      </c>
    </row>
    <row r="240" spans="1:13" ht="18.75" customHeight="1" x14ac:dyDescent="0.25">
      <c r="A240" s="799"/>
      <c r="B240" s="395"/>
      <c r="C240" s="799"/>
      <c r="D240" s="799"/>
      <c r="E240" s="799"/>
      <c r="F240" s="799"/>
      <c r="G240" s="799"/>
      <c r="H240" s="799"/>
      <c r="I240" s="799"/>
      <c r="J240" s="799"/>
      <c r="K240" s="799"/>
    </row>
    <row r="241" spans="1:13" ht="16.5" customHeight="1" x14ac:dyDescent="0.25">
      <c r="A241" s="165" t="s">
        <v>8</v>
      </c>
      <c r="B241" s="59"/>
      <c r="C241" s="59"/>
      <c r="D241" s="799"/>
      <c r="E241" s="799"/>
      <c r="F241" s="799"/>
      <c r="G241" s="799"/>
      <c r="H241" s="799"/>
      <c r="I241" s="799"/>
      <c r="J241" s="799"/>
      <c r="K241" s="799"/>
    </row>
    <row r="242" spans="1:13" x14ac:dyDescent="0.25">
      <c r="A242" s="799"/>
      <c r="B242" s="395"/>
      <c r="C242" s="395"/>
      <c r="D242" s="395"/>
      <c r="E242" s="395"/>
      <c r="F242" s="395"/>
      <c r="G242" s="395"/>
      <c r="H242" s="395"/>
      <c r="I242" s="395"/>
      <c r="J242" s="395"/>
      <c r="K242" s="395"/>
    </row>
    <row r="243" spans="1:13" ht="18" customHeight="1" x14ac:dyDescent="0.25">
      <c r="A243" s="799"/>
      <c r="B243" s="114" t="s">
        <v>19</v>
      </c>
      <c r="C243" s="8">
        <f>IF(SF$11="No",0,IF(E233="Yes",1,0))</f>
        <v>0</v>
      </c>
      <c r="D243" s="799"/>
      <c r="E243" s="799"/>
      <c r="F243" s="799"/>
      <c r="G243" s="799"/>
      <c r="H243" s="799"/>
      <c r="I243" s="799"/>
      <c r="J243" s="799"/>
      <c r="K243" s="799"/>
    </row>
    <row r="244" spans="1:13" ht="18" customHeight="1" collapsed="1" x14ac:dyDescent="0.25">
      <c r="A244" s="799"/>
      <c r="B244" s="122" t="s">
        <v>151</v>
      </c>
      <c r="C244" s="8" t="str">
        <f>IF(F11="No","No",IF(AND(COUNTIF(L238:L239,"Yes")=2,C243&gt;0),"Yes","No"))</f>
        <v>No</v>
      </c>
      <c r="D244" s="799"/>
      <c r="E244" s="799"/>
      <c r="F244" s="799"/>
      <c r="G244" s="799"/>
      <c r="H244" s="799"/>
      <c r="I244" s="799"/>
      <c r="J244" s="799"/>
      <c r="K244" s="799"/>
    </row>
    <row r="245" spans="1:13" ht="21" customHeight="1" x14ac:dyDescent="0.25">
      <c r="A245" s="799"/>
      <c r="B245" s="395"/>
      <c r="C245" s="395"/>
      <c r="D245" s="395"/>
      <c r="E245" s="395"/>
      <c r="F245" s="395"/>
      <c r="G245" s="395"/>
      <c r="H245" s="395"/>
      <c r="I245" s="395"/>
      <c r="J245" s="395"/>
      <c r="K245" s="395"/>
    </row>
    <row r="246" spans="1:13" ht="18" customHeight="1" x14ac:dyDescent="0.25">
      <c r="A246" s="1841" t="s">
        <v>1691</v>
      </c>
      <c r="B246" s="1841"/>
      <c r="C246" s="1841"/>
      <c r="D246" s="1841"/>
      <c r="E246" s="1841"/>
      <c r="F246" s="1841"/>
      <c r="G246" s="1841"/>
      <c r="H246" s="1841"/>
      <c r="I246" s="1841"/>
      <c r="J246" s="1841"/>
      <c r="K246" s="1841"/>
    </row>
    <row r="247" spans="1:13" ht="18.75" customHeight="1" x14ac:dyDescent="0.25">
      <c r="A247" s="838"/>
      <c r="B247" s="123"/>
      <c r="C247" s="123"/>
      <c r="D247" s="123"/>
      <c r="E247" s="123"/>
      <c r="F247" s="123"/>
      <c r="G247" s="123"/>
      <c r="H247" s="123"/>
      <c r="I247" s="123"/>
      <c r="J247" s="123"/>
      <c r="K247" s="123"/>
    </row>
    <row r="248" spans="1:13" ht="18.75" customHeight="1" x14ac:dyDescent="0.25">
      <c r="A248" s="838"/>
      <c r="B248" s="123"/>
      <c r="C248" s="123"/>
      <c r="D248" s="123"/>
      <c r="E248" s="123"/>
      <c r="F248" s="123"/>
      <c r="G248" s="123"/>
      <c r="H248" s="123"/>
      <c r="I248" s="123"/>
      <c r="J248" s="123"/>
      <c r="K248" s="123"/>
    </row>
    <row r="249" spans="1:13" ht="18.75" customHeight="1" x14ac:dyDescent="0.25">
      <c r="A249" s="838"/>
      <c r="B249" s="123"/>
      <c r="C249" s="123"/>
      <c r="D249" s="123"/>
      <c r="E249" s="123"/>
      <c r="F249" s="123"/>
      <c r="G249" s="123"/>
      <c r="H249" s="123"/>
      <c r="I249" s="123"/>
      <c r="J249" s="123"/>
      <c r="K249" s="123"/>
    </row>
    <row r="250" spans="1:13" ht="18" customHeight="1" x14ac:dyDescent="0.25">
      <c r="A250" s="1841" t="s">
        <v>1688</v>
      </c>
      <c r="B250" s="1841"/>
      <c r="C250" s="1841"/>
      <c r="D250" s="1841"/>
      <c r="E250" s="1841"/>
      <c r="F250" s="1841"/>
      <c r="G250" s="1841"/>
      <c r="H250" s="1841"/>
      <c r="I250" s="1841"/>
      <c r="J250" s="1841"/>
      <c r="K250" s="1841"/>
    </row>
    <row r="251" spans="1:13" s="801" customFormat="1" ht="15" customHeight="1" x14ac:dyDescent="0.25">
      <c r="A251" s="127"/>
      <c r="B251" s="127"/>
      <c r="C251" s="127"/>
      <c r="D251" s="127"/>
      <c r="E251" s="127"/>
      <c r="F251" s="127"/>
      <c r="G251" s="127"/>
      <c r="H251" s="127"/>
      <c r="I251" s="127"/>
      <c r="J251" s="127"/>
      <c r="K251" s="127"/>
      <c r="L251" s="37"/>
      <c r="M251" s="37"/>
    </row>
    <row r="252" spans="1:13" ht="16.5" customHeight="1" x14ac:dyDescent="0.25">
      <c r="A252" s="1851" t="s">
        <v>117</v>
      </c>
      <c r="B252" s="1851"/>
      <c r="C252" s="1851"/>
      <c r="D252" s="127"/>
      <c r="E252" s="127"/>
      <c r="F252" s="127"/>
      <c r="G252" s="127"/>
      <c r="H252" s="127"/>
      <c r="I252" s="127"/>
      <c r="J252" s="127"/>
      <c r="K252" s="127"/>
    </row>
    <row r="253" spans="1:13" ht="15" customHeight="1" x14ac:dyDescent="0.25">
      <c r="A253" s="127"/>
      <c r="B253" s="127"/>
      <c r="C253" s="127"/>
      <c r="D253" s="127"/>
      <c r="E253" s="127"/>
      <c r="F253" s="127"/>
      <c r="G253" s="127"/>
      <c r="H253" s="127"/>
      <c r="I253" s="127"/>
      <c r="J253" s="127"/>
      <c r="K253" s="127"/>
    </row>
    <row r="254" spans="1:13" ht="15" customHeight="1" x14ac:dyDescent="0.25">
      <c r="A254" s="127"/>
      <c r="B254" s="1826" t="s">
        <v>2571</v>
      </c>
      <c r="C254" s="1826"/>
      <c r="D254" s="1826"/>
      <c r="E254" s="1826"/>
      <c r="F254" s="1826"/>
      <c r="G254" s="1826"/>
      <c r="H254" s="1826"/>
      <c r="I254" s="1826"/>
      <c r="J254" s="1826"/>
      <c r="K254" s="127"/>
    </row>
    <row r="255" spans="1:13" ht="15" customHeight="1" x14ac:dyDescent="0.25">
      <c r="A255" s="127"/>
      <c r="B255" s="1826"/>
      <c r="C255" s="1826"/>
      <c r="D255" s="1826"/>
      <c r="E255" s="1826"/>
      <c r="F255" s="1826"/>
      <c r="G255" s="1826"/>
      <c r="H255" s="1826"/>
      <c r="I255" s="1826"/>
      <c r="J255" s="1826"/>
      <c r="K255" s="127"/>
    </row>
    <row r="256" spans="1:13" ht="10.5" customHeight="1" x14ac:dyDescent="0.25">
      <c r="A256" s="127"/>
      <c r="B256" s="127"/>
      <c r="C256" s="127"/>
      <c r="D256" s="127"/>
      <c r="E256" s="127"/>
      <c r="F256" s="127"/>
      <c r="G256" s="127"/>
      <c r="H256" s="127"/>
      <c r="I256" s="127"/>
      <c r="J256" s="127"/>
      <c r="K256" s="127"/>
    </row>
    <row r="257" spans="1:14" ht="16.5" customHeight="1" x14ac:dyDescent="0.25">
      <c r="A257" s="1851" t="s">
        <v>9</v>
      </c>
      <c r="B257" s="1851"/>
      <c r="C257" s="1851"/>
      <c r="D257" s="127"/>
      <c r="E257" s="127"/>
      <c r="F257" s="127"/>
      <c r="G257" s="127"/>
      <c r="H257" s="127"/>
      <c r="I257" s="127"/>
      <c r="J257" s="127"/>
      <c r="K257" s="127"/>
    </row>
    <row r="258" spans="1:14" x14ac:dyDescent="0.25">
      <c r="A258" s="127"/>
      <c r="B258" s="127"/>
      <c r="C258" s="127"/>
      <c r="D258" s="127"/>
      <c r="E258" s="127"/>
      <c r="F258" s="127"/>
      <c r="G258" s="127"/>
      <c r="H258" s="127"/>
      <c r="I258" s="127"/>
      <c r="J258" s="127"/>
      <c r="K258" s="127"/>
    </row>
    <row r="259" spans="1:14" x14ac:dyDescent="0.25">
      <c r="A259" s="127"/>
      <c r="B259" s="127" t="s">
        <v>1687</v>
      </c>
      <c r="C259" s="127"/>
      <c r="D259" s="127"/>
      <c r="E259" s="127"/>
      <c r="F259" s="127"/>
      <c r="G259" s="127"/>
      <c r="H259" s="127"/>
      <c r="I259" s="127"/>
      <c r="J259" s="127"/>
      <c r="K259" s="127"/>
    </row>
    <row r="260" spans="1:14" x14ac:dyDescent="0.25">
      <c r="A260" s="127"/>
      <c r="B260" s="127" t="s">
        <v>1508</v>
      </c>
      <c r="C260" s="127"/>
      <c r="D260" s="127"/>
      <c r="E260" s="127"/>
      <c r="F260" s="127"/>
      <c r="G260" s="127"/>
      <c r="H260" s="127"/>
      <c r="I260" s="127"/>
      <c r="J260" s="127"/>
      <c r="K260" s="127"/>
    </row>
    <row r="261" spans="1:14" x14ac:dyDescent="0.25">
      <c r="A261" s="127"/>
      <c r="B261" s="127"/>
      <c r="C261" s="127"/>
      <c r="D261" s="127"/>
      <c r="E261" s="127"/>
      <c r="F261" s="127"/>
      <c r="G261" s="127"/>
      <c r="H261" s="127"/>
      <c r="I261" s="127"/>
      <c r="J261" s="127"/>
      <c r="K261" s="127"/>
    </row>
    <row r="262" spans="1:14" x14ac:dyDescent="0.25">
      <c r="A262" s="127"/>
      <c r="B262" s="718" t="s">
        <v>1571</v>
      </c>
      <c r="C262" s="127"/>
      <c r="D262" s="127"/>
      <c r="E262" s="127"/>
      <c r="F262" s="127"/>
      <c r="G262" s="127"/>
      <c r="H262" s="127"/>
      <c r="I262" s="127"/>
      <c r="J262" s="127"/>
      <c r="K262" s="127"/>
    </row>
    <row r="263" spans="1:14" x14ac:dyDescent="0.25">
      <c r="A263" s="127"/>
      <c r="B263" s="127"/>
      <c r="C263" s="127"/>
      <c r="D263" s="127"/>
      <c r="E263" s="127"/>
      <c r="F263" s="127"/>
      <c r="G263" s="127"/>
      <c r="H263" s="127"/>
      <c r="I263" s="127"/>
      <c r="J263" s="127"/>
      <c r="K263" s="127"/>
    </row>
    <row r="264" spans="1:14" ht="38.25" hidden="1" x14ac:dyDescent="0.25">
      <c r="A264" s="127"/>
      <c r="B264" s="127"/>
      <c r="C264" s="915" t="s">
        <v>1512</v>
      </c>
      <c r="D264" s="915" t="s">
        <v>1513</v>
      </c>
      <c r="E264" s="916" t="s">
        <v>1536</v>
      </c>
      <c r="F264" s="916" t="s">
        <v>1567</v>
      </c>
      <c r="G264" s="916" t="s">
        <v>1568</v>
      </c>
      <c r="H264" s="915" t="s">
        <v>1552</v>
      </c>
      <c r="I264" s="127"/>
      <c r="J264" s="127"/>
      <c r="K264" s="127"/>
    </row>
    <row r="265" spans="1:14" ht="19.5" hidden="1" customHeight="1" x14ac:dyDescent="0.25">
      <c r="A265" s="127"/>
      <c r="B265" s="68" t="s">
        <v>115</v>
      </c>
      <c r="C265" s="940"/>
      <c r="D265" s="940"/>
      <c r="E265" s="940"/>
      <c r="F265" s="940"/>
      <c r="G265" s="940"/>
      <c r="H265" s="940"/>
      <c r="I265" s="127"/>
      <c r="J265" s="127"/>
      <c r="K265" s="127"/>
      <c r="M265" s="1839" t="s">
        <v>1512</v>
      </c>
      <c r="N265" s="1839"/>
    </row>
    <row r="266" spans="1:14" hidden="1" x14ac:dyDescent="0.25">
      <c r="A266" s="127"/>
      <c r="B266" s="800"/>
      <c r="C266" s="800"/>
      <c r="D266" s="800"/>
      <c r="E266" s="800"/>
      <c r="F266" s="800"/>
      <c r="G266" s="800"/>
      <c r="H266" s="800"/>
      <c r="I266" s="127"/>
      <c r="J266" s="127"/>
      <c r="K266" s="127"/>
      <c r="M266" s="1840"/>
      <c r="N266" s="1840"/>
    </row>
    <row r="267" spans="1:14" ht="20.25" hidden="1" customHeight="1" x14ac:dyDescent="0.25">
      <c r="A267" s="127"/>
      <c r="B267" s="1853" t="s">
        <v>87</v>
      </c>
      <c r="C267" s="1875"/>
      <c r="D267" s="1835" t="s">
        <v>1299</v>
      </c>
      <c r="E267" s="1835"/>
      <c r="F267" s="1835" t="s">
        <v>131</v>
      </c>
      <c r="G267" s="1835" t="s">
        <v>1569</v>
      </c>
      <c r="H267" s="1837" t="s">
        <v>1570</v>
      </c>
      <c r="I267" s="127"/>
      <c r="J267" s="127"/>
      <c r="K267" s="127"/>
      <c r="M267" s="1835" t="s">
        <v>1569</v>
      </c>
      <c r="N267" s="1837" t="s">
        <v>1570</v>
      </c>
    </row>
    <row r="268" spans="1:14" ht="20.25" hidden="1" customHeight="1" x14ac:dyDescent="0.25">
      <c r="A268" s="127"/>
      <c r="B268" s="802" t="s">
        <v>91</v>
      </c>
      <c r="C268" s="803" t="s">
        <v>84</v>
      </c>
      <c r="D268" s="1836"/>
      <c r="E268" s="1836"/>
      <c r="F268" s="1836"/>
      <c r="G268" s="1836"/>
      <c r="H268" s="1838"/>
      <c r="I268" s="127"/>
      <c r="J268" s="127"/>
      <c r="K268" s="127"/>
      <c r="M268" s="1836"/>
      <c r="N268" s="1838"/>
    </row>
    <row r="269" spans="1:14" hidden="1" x14ac:dyDescent="0.25">
      <c r="A269" s="127"/>
      <c r="B269" s="1842" t="s">
        <v>1071</v>
      </c>
      <c r="C269" s="1842" t="s">
        <v>1070</v>
      </c>
      <c r="D269" s="66" t="s">
        <v>85</v>
      </c>
      <c r="E269" s="108">
        <v>3</v>
      </c>
      <c r="F269" s="1842">
        <v>2</v>
      </c>
      <c r="G269" s="1833">
        <f>IF(OR(B269="",C269="",F269=""),"",IF(C269="Dual Flush",(E269*3+E270*1)*$C$110*F269/SUM($F$46:$F$53),E270*4*$C$110*F269/SUM($F$46:$F$53)))</f>
        <v>0</v>
      </c>
      <c r="H269" s="1833">
        <f>IF(OR(B269="",C269="",F269=""),"",6*4*$C$110*F269/SUM($F$46:$F$53))</f>
        <v>0</v>
      </c>
      <c r="I269" s="127"/>
      <c r="J269" s="127"/>
      <c r="K269" s="127"/>
      <c r="M269" s="1833">
        <f>IF(OR(B269="",C269="",F269=""),"",IF(C269="Dual Flush",(E269*3+E270*1)*$C$110*F269/SUM($F$46:$F$53),E270*4*$C$110*F269/SUM($F$46:$F$53)))</f>
        <v>0</v>
      </c>
      <c r="N269" s="1833">
        <f>IF(OR(B269="",C269="",F269=""),"",6*4*$C$110*F269/SUM($F$46:$F$53))</f>
        <v>0</v>
      </c>
    </row>
    <row r="270" spans="1:14" hidden="1" x14ac:dyDescent="0.25">
      <c r="A270" s="127"/>
      <c r="B270" s="1843"/>
      <c r="C270" s="1843"/>
      <c r="D270" s="66" t="s">
        <v>86</v>
      </c>
      <c r="E270" s="108">
        <v>4</v>
      </c>
      <c r="F270" s="1843"/>
      <c r="G270" s="1834"/>
      <c r="H270" s="1834"/>
      <c r="I270" s="127"/>
      <c r="J270" s="127"/>
      <c r="K270" s="127"/>
      <c r="M270" s="1834"/>
      <c r="N270" s="1834"/>
    </row>
    <row r="271" spans="1:14" hidden="1" x14ac:dyDescent="0.25">
      <c r="A271" s="127"/>
      <c r="B271" s="1842"/>
      <c r="C271" s="1842"/>
      <c r="D271" s="66" t="s">
        <v>85</v>
      </c>
      <c r="E271" s="108"/>
      <c r="F271" s="1842"/>
      <c r="G271" s="1833" t="str">
        <f>IF(OR(B271="",C271="",F271=""),"",IF(C271="Dual Flush",(E271*3+E272*1)*$C$110*F271/SUM($F$46:$F$53),E272*4*$C$110*F271/SUM($F$46:$F$53)))</f>
        <v/>
      </c>
      <c r="H271" s="1833" t="str">
        <f>IF(OR(B271="",C271="",F271=""),"",6*4*$C$110*F271/SUM($F$46:$F$53))</f>
        <v/>
      </c>
      <c r="I271" s="127"/>
      <c r="J271" s="127"/>
      <c r="K271" s="127"/>
      <c r="M271" s="1833" t="str">
        <f>IF(OR(B271="",C271="",F271=""),"",IF(C271="Dual Flush",(E271*3+E272*1)*$C$110*F271/SUM($F$46:$F$53),E272*4*$C$110*F271/SUM($F$46:$F$53)))</f>
        <v/>
      </c>
      <c r="N271" s="1833" t="str">
        <f>IF(OR(B271="",C271="",F271=""),"",6*4*$C$110*F271/SUM($F$46:$F$53))</f>
        <v/>
      </c>
    </row>
    <row r="272" spans="1:14" hidden="1" x14ac:dyDescent="0.25">
      <c r="A272" s="127"/>
      <c r="B272" s="1843"/>
      <c r="C272" s="1843"/>
      <c r="D272" s="66" t="s">
        <v>86</v>
      </c>
      <c r="E272" s="108"/>
      <c r="F272" s="1843"/>
      <c r="G272" s="1834"/>
      <c r="H272" s="1834"/>
      <c r="I272" s="127"/>
      <c r="J272" s="127"/>
      <c r="K272" s="127"/>
      <c r="M272" s="1834"/>
      <c r="N272" s="1834"/>
    </row>
    <row r="273" spans="1:14" hidden="1" x14ac:dyDescent="0.25">
      <c r="A273" s="127"/>
      <c r="B273" s="1876"/>
      <c r="C273" s="1842"/>
      <c r="D273" s="66" t="s">
        <v>85</v>
      </c>
      <c r="E273" s="108"/>
      <c r="F273" s="1842"/>
      <c r="G273" s="1833" t="str">
        <f>IF(OR(B273="",C273="",F273=""),"",IF(C273="Dual Flush",(E273*3+E274*1)*$C$110*F273/SUM($F$46:$F$53),E274*4*$C$110*F273/SUM($F$46:$F$53)))</f>
        <v/>
      </c>
      <c r="H273" s="1833" t="str">
        <f>IF(OR(B273="",C273="",F273=""),"",6*4*$C$110*F273/SUM($F$46:$F$53))</f>
        <v/>
      </c>
      <c r="I273" s="127"/>
      <c r="J273" s="127"/>
      <c r="K273" s="127"/>
      <c r="M273" s="1833" t="str">
        <f>IF(OR(B273="",C273="",F273=""),"",IF(C273="Dual Flush",(E273*3+E274*1)*$C$110*F273/SUM($F$46:$F$53),E274*4*$C$110*F273/SUM($F$46:$F$53)))</f>
        <v/>
      </c>
      <c r="N273" s="1833" t="str">
        <f>IF(OR(B273="",C273="",F273=""),"",6*4*$C$110*F273/SUM($F$46:$F$53))</f>
        <v/>
      </c>
    </row>
    <row r="274" spans="1:14" hidden="1" x14ac:dyDescent="0.25">
      <c r="A274" s="127"/>
      <c r="B274" s="1877"/>
      <c r="C274" s="1843"/>
      <c r="D274" s="66" t="s">
        <v>86</v>
      </c>
      <c r="E274" s="108"/>
      <c r="F274" s="1843"/>
      <c r="G274" s="1834"/>
      <c r="H274" s="1834"/>
      <c r="I274" s="127"/>
      <c r="J274" s="127"/>
      <c r="K274" s="127"/>
      <c r="M274" s="1834"/>
      <c r="N274" s="1834"/>
    </row>
    <row r="275" spans="1:14" hidden="1" x14ac:dyDescent="0.25">
      <c r="A275" s="127"/>
      <c r="B275" s="127"/>
      <c r="C275" s="127"/>
      <c r="D275" s="127"/>
      <c r="E275" s="127"/>
      <c r="F275" s="127"/>
      <c r="G275" s="690">
        <f>SUM(G269:G274)</f>
        <v>0</v>
      </c>
      <c r="H275" s="690">
        <f>SUM(H269:H274)</f>
        <v>0</v>
      </c>
      <c r="I275" s="127"/>
      <c r="J275" s="127"/>
      <c r="K275" s="127"/>
      <c r="M275" s="690">
        <f>SUM(M269:M274)</f>
        <v>0</v>
      </c>
      <c r="N275" s="690">
        <f>SUM(N269:N274)</f>
        <v>0</v>
      </c>
    </row>
    <row r="276" spans="1:14" ht="12" hidden="1" customHeight="1" x14ac:dyDescent="0.25">
      <c r="A276" s="127"/>
      <c r="B276" s="127"/>
      <c r="C276" s="127"/>
      <c r="D276" s="127"/>
      <c r="E276" s="127"/>
      <c r="F276" s="127"/>
      <c r="G276" s="800"/>
      <c r="H276" s="800"/>
      <c r="I276" s="127"/>
      <c r="J276" s="127"/>
      <c r="K276" s="127"/>
    </row>
    <row r="277" spans="1:14" ht="32.25" hidden="1" customHeight="1" x14ac:dyDescent="0.25">
      <c r="A277" s="800"/>
      <c r="B277" s="1867" t="s">
        <v>90</v>
      </c>
      <c r="C277" s="1868"/>
      <c r="D277" s="1857" t="s">
        <v>88</v>
      </c>
      <c r="E277" s="1857"/>
      <c r="F277" s="948" t="s">
        <v>131</v>
      </c>
      <c r="G277" s="948" t="s">
        <v>82</v>
      </c>
      <c r="H277" s="805" t="s">
        <v>83</v>
      </c>
      <c r="I277" s="127"/>
      <c r="J277" s="127"/>
      <c r="K277" s="127"/>
    </row>
    <row r="278" spans="1:14" hidden="1" x14ac:dyDescent="0.25">
      <c r="A278" s="800"/>
      <c r="B278" s="1864"/>
      <c r="C278" s="1865"/>
      <c r="D278" s="1864"/>
      <c r="E278" s="1865"/>
      <c r="F278" s="940"/>
      <c r="G278" s="941" t="str">
        <f>IF(OR(B278="",D278="",F278=""),"",D278*480*$C$110*F278/SUM($F$57:$F$60))</f>
        <v/>
      </c>
      <c r="H278" s="941" t="str">
        <f>IF(OR(B278="",D278="",F278=""),"",0.16*480*$C$110*F278/SUM($F$57:$F$60))</f>
        <v/>
      </c>
      <c r="I278" s="127"/>
      <c r="J278" s="127"/>
      <c r="K278" s="127"/>
    </row>
    <row r="279" spans="1:14" hidden="1" x14ac:dyDescent="0.25">
      <c r="A279" s="800"/>
      <c r="B279" s="1864"/>
      <c r="C279" s="1865"/>
      <c r="D279" s="1864"/>
      <c r="E279" s="1865"/>
      <c r="F279" s="940"/>
      <c r="G279" s="941" t="str">
        <f t="shared" ref="G279:G280" si="14">IF(OR(B279="",D279="",F279=""),"",D279*480*$C$110*F279/SUM($F$57:$F$60))</f>
        <v/>
      </c>
      <c r="H279" s="941" t="str">
        <f t="shared" ref="H279:H280" si="15">IF(OR(B279="",D279="",F279=""),"",0.16*480*$C$110*F279/SUM($F$57:$F$60))</f>
        <v/>
      </c>
      <c r="I279" s="127"/>
      <c r="J279" s="127"/>
      <c r="K279" s="127"/>
    </row>
    <row r="280" spans="1:14" hidden="1" x14ac:dyDescent="0.25">
      <c r="A280" s="800"/>
      <c r="B280" s="1864"/>
      <c r="C280" s="1865"/>
      <c r="D280" s="1864"/>
      <c r="E280" s="1865"/>
      <c r="F280" s="940"/>
      <c r="G280" s="941" t="str">
        <f t="shared" si="14"/>
        <v/>
      </c>
      <c r="H280" s="941" t="str">
        <f t="shared" si="15"/>
        <v/>
      </c>
      <c r="I280" s="127"/>
      <c r="J280" s="127"/>
      <c r="K280" s="127"/>
    </row>
    <row r="281" spans="1:14" hidden="1" x14ac:dyDescent="0.25">
      <c r="A281" s="800"/>
      <c r="B281" s="800"/>
      <c r="C281" s="800"/>
      <c r="D281" s="800"/>
      <c r="E281" s="800"/>
      <c r="F281" s="800"/>
      <c r="G281" s="63">
        <f>SUM(G278:G280)</f>
        <v>0</v>
      </c>
      <c r="H281" s="63">
        <f>SUM(H278:H280)</f>
        <v>0</v>
      </c>
      <c r="I281" s="127"/>
      <c r="J281" s="127"/>
      <c r="K281" s="127"/>
    </row>
    <row r="282" spans="1:14" ht="12" hidden="1" customHeight="1" x14ac:dyDescent="0.25">
      <c r="A282" s="800"/>
      <c r="B282" s="800"/>
      <c r="C282" s="800"/>
      <c r="D282" s="800"/>
      <c r="E282" s="800"/>
      <c r="F282" s="800"/>
      <c r="G282" s="800"/>
      <c r="H282" s="800"/>
      <c r="I282" s="127"/>
      <c r="J282" s="127"/>
      <c r="K282" s="127"/>
    </row>
    <row r="283" spans="1:14" ht="35.25" hidden="1" customHeight="1" x14ac:dyDescent="0.25">
      <c r="A283" s="800"/>
      <c r="B283" s="1867" t="s">
        <v>93</v>
      </c>
      <c r="C283" s="1868"/>
      <c r="D283" s="1857" t="s">
        <v>88</v>
      </c>
      <c r="E283" s="1857"/>
      <c r="F283" s="948" t="s">
        <v>131</v>
      </c>
      <c r="G283" s="948" t="s">
        <v>82</v>
      </c>
      <c r="H283" s="805" t="s">
        <v>83</v>
      </c>
      <c r="I283" s="127"/>
      <c r="J283" s="127"/>
      <c r="K283" s="127"/>
    </row>
    <row r="284" spans="1:14" hidden="1" x14ac:dyDescent="0.25">
      <c r="A284" s="800"/>
      <c r="B284" s="1864"/>
      <c r="C284" s="1865"/>
      <c r="D284" s="1864"/>
      <c r="E284" s="1865"/>
      <c r="F284" s="940"/>
      <c r="G284" s="941" t="str">
        <f>IF(OR(B284="",D284="",F284=""),"",D284*60*$C$110*7*F284/SUM($F$64:$F$67))</f>
        <v/>
      </c>
      <c r="H284" s="941" t="str">
        <f>IF(OR(B284="",D284="",F284=""),"",0.14*60*$C$110*7*F284/SUM($F$64:$F$67))</f>
        <v/>
      </c>
      <c r="I284" s="127"/>
      <c r="J284" s="127"/>
      <c r="K284" s="127"/>
    </row>
    <row r="285" spans="1:14" hidden="1" x14ac:dyDescent="0.25">
      <c r="A285" s="800"/>
      <c r="B285" s="1864"/>
      <c r="C285" s="1865"/>
      <c r="D285" s="1864"/>
      <c r="E285" s="1865"/>
      <c r="F285" s="940"/>
      <c r="G285" s="941" t="str">
        <f>IF(OR(B285="",D285="",F285=""),"",D285*60*$C$110*7*F285/SUM($F$64:$F$67))</f>
        <v/>
      </c>
      <c r="H285" s="941" t="str">
        <f>IF(OR(B285="",D285="",F285=""),"",0.14*60*$C$110*7*F285/SUM($F$64:$F$67))</f>
        <v/>
      </c>
      <c r="I285" s="127"/>
      <c r="J285" s="127"/>
      <c r="K285" s="127"/>
    </row>
    <row r="286" spans="1:14" hidden="1" x14ac:dyDescent="0.25">
      <c r="A286" s="800"/>
      <c r="B286" s="1864"/>
      <c r="C286" s="1865"/>
      <c r="D286" s="1864"/>
      <c r="E286" s="1865"/>
      <c r="F286" s="940"/>
      <c r="G286" s="941" t="str">
        <f>IF(OR(B286="",D286="",F286=""),"",D286*60*$C$110*7*F286/SUM($F$64:$F$67))</f>
        <v/>
      </c>
      <c r="H286" s="941" t="str">
        <f>IF(OR(B286="",D286="",F286=""),"",0.14*60*$C$110*7*F286/SUM($F$64:$F$67))</f>
        <v/>
      </c>
      <c r="I286" s="127"/>
      <c r="J286" s="127"/>
      <c r="K286" s="127"/>
    </row>
    <row r="287" spans="1:14" ht="13.5" hidden="1" customHeight="1" x14ac:dyDescent="0.25">
      <c r="A287" s="800"/>
      <c r="B287" s="800"/>
      <c r="C287" s="800"/>
      <c r="D287" s="800"/>
      <c r="E287" s="800"/>
      <c r="F287" s="800"/>
      <c r="G287" s="63">
        <f>SUM(G284:G286)</f>
        <v>0</v>
      </c>
      <c r="H287" s="63">
        <f>SUM(H284:H286)</f>
        <v>0</v>
      </c>
      <c r="I287" s="127"/>
      <c r="J287" s="127"/>
      <c r="K287" s="127"/>
    </row>
    <row r="288" spans="1:14" ht="12" hidden="1" customHeight="1" x14ac:dyDescent="0.25">
      <c r="A288" s="800"/>
      <c r="B288" s="800"/>
      <c r="C288" s="800"/>
      <c r="D288" s="800"/>
      <c r="E288" s="800"/>
      <c r="F288" s="800"/>
      <c r="G288" s="800"/>
      <c r="H288" s="800"/>
      <c r="I288" s="127"/>
      <c r="J288" s="127"/>
      <c r="K288" s="127"/>
    </row>
    <row r="289" spans="1:12" ht="29.25" hidden="1" customHeight="1" x14ac:dyDescent="0.25">
      <c r="A289" s="800"/>
      <c r="B289" s="1867" t="s">
        <v>92</v>
      </c>
      <c r="C289" s="1868"/>
      <c r="D289" s="1857" t="s">
        <v>88</v>
      </c>
      <c r="E289" s="1857"/>
      <c r="F289" s="948" t="s">
        <v>131</v>
      </c>
      <c r="G289" s="948" t="s">
        <v>82</v>
      </c>
      <c r="H289" s="805" t="s">
        <v>83</v>
      </c>
      <c r="I289" s="127"/>
      <c r="J289" s="127"/>
      <c r="K289" s="127"/>
    </row>
    <row r="290" spans="1:12" hidden="1" x14ac:dyDescent="0.25">
      <c r="A290" s="800"/>
      <c r="B290" s="1864"/>
      <c r="C290" s="1865"/>
      <c r="D290" s="1864"/>
      <c r="E290" s="1865"/>
      <c r="F290" s="940"/>
      <c r="G290" s="941" t="str">
        <f>IF(OR(B290="",D290="",F290=""),"",D290*60*#REF!*4*F290/SUM($F$71:$F$74))</f>
        <v/>
      </c>
      <c r="H290" s="941" t="str">
        <f>IF(OR(B290="",D290="",F290=""),"",0.14*60*#REF!*4*F290/SUM($F$71:$F$74))</f>
        <v/>
      </c>
      <c r="I290" s="127"/>
      <c r="J290" s="127"/>
      <c r="K290" s="127"/>
    </row>
    <row r="291" spans="1:12" hidden="1" x14ac:dyDescent="0.25">
      <c r="A291" s="800"/>
      <c r="B291" s="1864"/>
      <c r="C291" s="1865"/>
      <c r="D291" s="1864"/>
      <c r="E291" s="1865"/>
      <c r="F291" s="940"/>
      <c r="G291" s="941" t="str">
        <f>IF(OR(B291="",D291="",F291=""),"",D291*60*#REF!*4*F291/SUM($F$71:$F$74))</f>
        <v/>
      </c>
      <c r="H291" s="941" t="str">
        <f>IF(OR(B291="",D291="",F291=""),"",0.14*60*#REF!*4*F291/SUM($F$71:$F$74))</f>
        <v/>
      </c>
      <c r="I291" s="127"/>
      <c r="J291" s="127"/>
      <c r="K291" s="127"/>
    </row>
    <row r="292" spans="1:12" hidden="1" x14ac:dyDescent="0.25">
      <c r="A292" s="800"/>
      <c r="B292" s="943"/>
      <c r="C292" s="944"/>
      <c r="D292" s="943"/>
      <c r="E292" s="944"/>
      <c r="F292" s="940"/>
      <c r="G292" s="941"/>
      <c r="H292" s="941"/>
      <c r="I292" s="127"/>
      <c r="J292" s="127"/>
      <c r="K292" s="127"/>
    </row>
    <row r="293" spans="1:12" hidden="1" x14ac:dyDescent="0.25">
      <c r="A293" s="800"/>
      <c r="B293" s="1864"/>
      <c r="C293" s="1865"/>
      <c r="D293" s="1864"/>
      <c r="E293" s="1865"/>
      <c r="F293" s="940"/>
      <c r="G293" s="941" t="str">
        <f>IF(OR(B293="",D293="",F293=""),"",D293*60*#REF!*4*F293/SUM($F$71:$F$74))</f>
        <v/>
      </c>
      <c r="H293" s="941" t="str">
        <f>IF(OR(B293="",D293="",F293=""),"",0.14*60*#REF!*4*F293/SUM($F$71:$F$74))</f>
        <v/>
      </c>
      <c r="I293" s="127"/>
      <c r="J293" s="127"/>
      <c r="K293" s="127"/>
    </row>
    <row r="294" spans="1:12" hidden="1" x14ac:dyDescent="0.25">
      <c r="A294" s="800"/>
      <c r="B294" s="800"/>
      <c r="C294" s="800"/>
      <c r="D294" s="800"/>
      <c r="E294" s="800"/>
      <c r="F294" s="800"/>
      <c r="G294" s="63">
        <f>SUM(G290:G293)</f>
        <v>0</v>
      </c>
      <c r="H294" s="63">
        <f>SUM(H290:H293)</f>
        <v>0</v>
      </c>
      <c r="I294" s="127"/>
      <c r="J294" s="127"/>
      <c r="K294" s="127"/>
    </row>
    <row r="295" spans="1:12" ht="9" customHeight="1" x14ac:dyDescent="0.25">
      <c r="A295" s="127"/>
      <c r="B295" s="127"/>
      <c r="C295" s="127"/>
      <c r="D295" s="127"/>
      <c r="E295" s="127"/>
      <c r="F295" s="127"/>
      <c r="G295" s="838"/>
      <c r="H295" s="838"/>
      <c r="I295" s="127"/>
      <c r="J295" s="127"/>
      <c r="K295" s="127"/>
    </row>
    <row r="296" spans="1:12" ht="16.5" customHeight="1" x14ac:dyDescent="0.25">
      <c r="A296" s="838"/>
      <c r="B296" s="1870" t="s">
        <v>132</v>
      </c>
      <c r="C296" s="1870"/>
      <c r="D296" s="934"/>
      <c r="E296" s="838"/>
      <c r="F296" s="838"/>
      <c r="G296" s="838"/>
      <c r="H296" s="838"/>
      <c r="I296" s="838"/>
      <c r="J296" s="838"/>
      <c r="K296" s="838"/>
    </row>
    <row r="297" spans="1:12" ht="16.5" customHeight="1" x14ac:dyDescent="0.25">
      <c r="A297" s="838"/>
      <c r="B297" s="1870" t="s">
        <v>133</v>
      </c>
      <c r="C297" s="1870"/>
      <c r="D297" s="934"/>
      <c r="E297" s="838"/>
      <c r="F297" s="838"/>
      <c r="G297" s="838"/>
      <c r="H297" s="838"/>
      <c r="I297" s="838"/>
      <c r="J297" s="838"/>
      <c r="K297" s="838"/>
    </row>
    <row r="298" spans="1:12" x14ac:dyDescent="0.25">
      <c r="A298" s="127"/>
      <c r="B298" s="127"/>
      <c r="C298" s="127"/>
      <c r="D298" s="127"/>
      <c r="E298" s="838"/>
      <c r="F298" s="838"/>
      <c r="G298" s="838"/>
      <c r="H298" s="838"/>
      <c r="I298" s="838"/>
      <c r="J298" s="838"/>
      <c r="K298" s="838"/>
    </row>
    <row r="299" spans="1:12" ht="18.75" customHeight="1" x14ac:dyDescent="0.25">
      <c r="A299" s="838"/>
      <c r="B299" s="1869" t="s">
        <v>239</v>
      </c>
      <c r="C299" s="1869"/>
      <c r="D299" s="1869"/>
      <c r="E299" s="64">
        <f>IF(OR(D296=0,D297=0),0,1-D296/D297)</f>
        <v>0</v>
      </c>
      <c r="F299" s="838"/>
      <c r="G299" s="838"/>
      <c r="H299" s="838"/>
      <c r="I299" s="838"/>
      <c r="J299" s="838"/>
      <c r="K299" s="838"/>
    </row>
    <row r="300" spans="1:12" ht="19.5" customHeight="1" x14ac:dyDescent="0.25">
      <c r="A300" s="127"/>
      <c r="B300" s="127"/>
      <c r="C300" s="127"/>
      <c r="D300" s="127"/>
      <c r="E300" s="127"/>
      <c r="F300" s="127"/>
      <c r="G300" s="127"/>
      <c r="H300" s="127"/>
      <c r="I300" s="127"/>
      <c r="J300" s="127"/>
      <c r="K300" s="127"/>
    </row>
    <row r="301" spans="1:12" ht="16.5" customHeight="1" x14ac:dyDescent="0.25">
      <c r="A301" s="1851" t="s">
        <v>97</v>
      </c>
      <c r="B301" s="1851"/>
      <c r="C301" s="1851"/>
      <c r="D301" s="127"/>
      <c r="E301" s="127"/>
      <c r="F301" s="127"/>
      <c r="G301" s="127"/>
      <c r="H301" s="127"/>
      <c r="I301" s="127"/>
      <c r="J301" s="127"/>
      <c r="K301" s="127"/>
    </row>
    <row r="302" spans="1:12" x14ac:dyDescent="0.25">
      <c r="A302" s="838"/>
      <c r="B302" s="838"/>
      <c r="C302" s="838"/>
      <c r="D302" s="838"/>
      <c r="E302" s="838"/>
      <c r="F302" s="838"/>
      <c r="G302" s="838"/>
      <c r="H302" s="838"/>
      <c r="I302" s="838"/>
      <c r="J302" s="838"/>
      <c r="K302" s="838"/>
    </row>
    <row r="303" spans="1:12" ht="21" customHeight="1" x14ac:dyDescent="0.25">
      <c r="A303" s="838"/>
      <c r="B303" s="1871" t="s">
        <v>98</v>
      </c>
      <c r="C303" s="1872"/>
      <c r="D303" s="1872"/>
      <c r="E303" s="1872"/>
      <c r="F303" s="1872"/>
      <c r="G303" s="946" t="s">
        <v>1297</v>
      </c>
      <c r="H303" s="1878" t="s">
        <v>1298</v>
      </c>
      <c r="I303" s="1878"/>
      <c r="J303" s="838"/>
      <c r="K303" s="127"/>
    </row>
    <row r="304" spans="1:12" ht="39.75" customHeight="1" x14ac:dyDescent="0.25">
      <c r="A304" s="838"/>
      <c r="B304" s="1644" t="str">
        <f>Submittals!H43</f>
        <v>Select the Submission Stage in Project Information</v>
      </c>
      <c r="C304" s="1645"/>
      <c r="D304" s="1645"/>
      <c r="E304" s="1645"/>
      <c r="F304" s="1645"/>
      <c r="G304" s="1271" t="s">
        <v>62</v>
      </c>
      <c r="H304" s="1625"/>
      <c r="I304" s="1626"/>
      <c r="J304" s="127"/>
      <c r="K304" s="127"/>
      <c r="L304" s="37" t="str">
        <f>IF(OR(B304="/",B304="No evidence required at this submission stage"),"Yes",IF(OR(G304="Already approved at PC",G304="Submitted"),"Yes","No"))</f>
        <v>No</v>
      </c>
    </row>
    <row r="305" spans="1:11" ht="18" customHeight="1" x14ac:dyDescent="0.25">
      <c r="A305" s="838"/>
      <c r="B305" s="123"/>
      <c r="C305" s="838"/>
      <c r="D305" s="838"/>
      <c r="E305" s="838"/>
      <c r="F305" s="838"/>
      <c r="G305" s="838"/>
      <c r="H305" s="838"/>
      <c r="I305" s="838"/>
      <c r="J305" s="838"/>
      <c r="K305" s="838"/>
    </row>
    <row r="306" spans="1:11" ht="16.5" customHeight="1" x14ac:dyDescent="0.25">
      <c r="A306" s="1851" t="s">
        <v>8</v>
      </c>
      <c r="B306" s="1851"/>
      <c r="C306" s="1851"/>
      <c r="D306" s="838"/>
      <c r="E306" s="838"/>
      <c r="F306" s="838"/>
      <c r="G306" s="838"/>
      <c r="H306" s="838"/>
      <c r="I306" s="838"/>
      <c r="J306" s="838"/>
      <c r="K306" s="838"/>
    </row>
    <row r="307" spans="1:11" ht="16.5" customHeight="1" x14ac:dyDescent="0.25">
      <c r="A307" s="838"/>
      <c r="B307" s="123"/>
      <c r="C307" s="123"/>
      <c r="D307" s="123"/>
      <c r="E307" s="123"/>
      <c r="F307" s="123"/>
      <c r="G307" s="123"/>
      <c r="H307" s="123"/>
      <c r="I307" s="123"/>
      <c r="J307" s="123"/>
      <c r="K307" s="123"/>
    </row>
    <row r="308" spans="1:11" ht="18" customHeight="1" x14ac:dyDescent="0.25">
      <c r="A308" s="838"/>
      <c r="B308" s="114" t="s">
        <v>19</v>
      </c>
      <c r="C308" s="8">
        <f>IF(F11="Yes",0,IF(E299&gt;=0.4,3,IF(E299&gt;=0.3,2,IF(E299&gt;=0.2,1,0))))</f>
        <v>0</v>
      </c>
      <c r="D308" s="838"/>
      <c r="E308" s="838"/>
      <c r="F308" s="838"/>
      <c r="G308" s="838"/>
      <c r="H308" s="838"/>
      <c r="I308" s="838"/>
      <c r="J308" s="838"/>
      <c r="K308" s="838"/>
    </row>
    <row r="309" spans="1:11" ht="18" customHeight="1" collapsed="1" x14ac:dyDescent="0.25">
      <c r="A309" s="838"/>
      <c r="B309" s="122" t="s">
        <v>151</v>
      </c>
      <c r="C309" s="8" t="str">
        <f>IF(F11="Yes","No",IF(AND(COUNTIF(L304:L304,"Yes")=1,C308&gt;0),"Yes","No"))</f>
        <v>No</v>
      </c>
      <c r="D309" s="838"/>
      <c r="E309" s="838"/>
      <c r="F309" s="838"/>
      <c r="G309" s="838"/>
      <c r="H309" s="838"/>
      <c r="I309" s="838"/>
      <c r="J309" s="838"/>
      <c r="K309" s="838"/>
    </row>
    <row r="310" spans="1:11" ht="19.5" customHeight="1" x14ac:dyDescent="0.25">
      <c r="A310" s="838"/>
      <c r="B310" s="123"/>
      <c r="C310" s="123"/>
      <c r="D310" s="123"/>
      <c r="E310" s="123"/>
      <c r="F310" s="123"/>
      <c r="G310" s="123"/>
      <c r="H310" s="123"/>
      <c r="I310" s="123"/>
      <c r="J310" s="123"/>
      <c r="K310" s="123"/>
    </row>
    <row r="311" spans="1:11" ht="18" customHeight="1" x14ac:dyDescent="0.25">
      <c r="A311" s="1841" t="s">
        <v>1364</v>
      </c>
      <c r="B311" s="1841"/>
      <c r="C311" s="1841"/>
      <c r="D311" s="1841"/>
      <c r="E311" s="1841"/>
      <c r="F311" s="1841"/>
      <c r="G311" s="1841"/>
      <c r="H311" s="1841"/>
      <c r="I311" s="1841"/>
      <c r="J311" s="1841"/>
      <c r="K311" s="1841"/>
    </row>
    <row r="312" spans="1:11" ht="15" customHeight="1" x14ac:dyDescent="0.25">
      <c r="A312" s="127"/>
      <c r="B312" s="127"/>
      <c r="C312" s="127"/>
      <c r="D312" s="127"/>
      <c r="E312" s="127"/>
      <c r="F312" s="127"/>
      <c r="G312" s="127"/>
      <c r="H312" s="127"/>
      <c r="I312" s="127"/>
      <c r="J312" s="127"/>
      <c r="K312" s="127"/>
    </row>
    <row r="313" spans="1:11" ht="17.25" customHeight="1" x14ac:dyDescent="0.25">
      <c r="A313" s="942" t="s">
        <v>117</v>
      </c>
      <c r="B313" s="59"/>
      <c r="C313" s="59"/>
      <c r="D313" s="127"/>
      <c r="E313" s="127"/>
      <c r="F313" s="127"/>
      <c r="G313" s="127"/>
      <c r="H313" s="127"/>
      <c r="I313" s="127"/>
      <c r="J313" s="127"/>
      <c r="K313" s="127"/>
    </row>
    <row r="314" spans="1:11" x14ac:dyDescent="0.25">
      <c r="A314" s="127"/>
      <c r="B314" s="127"/>
      <c r="C314" s="127"/>
      <c r="D314" s="127"/>
      <c r="E314" s="127"/>
      <c r="F314" s="127"/>
      <c r="G314" s="127"/>
      <c r="H314" s="127"/>
      <c r="I314" s="127"/>
      <c r="J314" s="127"/>
      <c r="K314" s="127"/>
    </row>
    <row r="315" spans="1:11" ht="26.25" customHeight="1" x14ac:dyDescent="0.25">
      <c r="A315" s="127"/>
      <c r="B315" s="1826" t="s">
        <v>1689</v>
      </c>
      <c r="C315" s="1826"/>
      <c r="D315" s="1826"/>
      <c r="E315" s="1826"/>
      <c r="F315" s="1826"/>
      <c r="G315" s="1826"/>
      <c r="H315" s="1826"/>
      <c r="I315" s="1826"/>
      <c r="J315" s="1826"/>
      <c r="K315" s="123"/>
    </row>
    <row r="316" spans="1:11" x14ac:dyDescent="0.25">
      <c r="A316" s="127"/>
      <c r="B316" s="947"/>
      <c r="C316" s="947"/>
      <c r="D316" s="947"/>
      <c r="E316" s="947"/>
      <c r="F316" s="947"/>
      <c r="G316" s="947"/>
      <c r="H316" s="947"/>
      <c r="I316" s="947"/>
      <c r="J316" s="947"/>
      <c r="K316" s="123"/>
    </row>
    <row r="317" spans="1:11" x14ac:dyDescent="0.25">
      <c r="A317" s="127"/>
      <c r="B317" s="949" t="s">
        <v>371</v>
      </c>
      <c r="C317" s="511"/>
      <c r="D317" s="511"/>
      <c r="E317" s="512"/>
      <c r="F317" s="123"/>
      <c r="G317" s="123"/>
      <c r="H317" s="123"/>
      <c r="I317" s="123"/>
      <c r="J317" s="123"/>
      <c r="K317" s="123"/>
    </row>
    <row r="318" spans="1:11" x14ac:dyDescent="0.25">
      <c r="A318" s="127"/>
      <c r="B318" s="950" t="s">
        <v>372</v>
      </c>
      <c r="C318" s="513"/>
      <c r="D318" s="513"/>
      <c r="E318" s="514"/>
      <c r="F318" s="123"/>
      <c r="G318" s="123"/>
      <c r="H318" s="123"/>
      <c r="I318" s="123"/>
      <c r="J318" s="123"/>
      <c r="K318" s="123"/>
    </row>
    <row r="319" spans="1:11" x14ac:dyDescent="0.25">
      <c r="A319" s="127"/>
      <c r="B319" s="951" t="s">
        <v>2091</v>
      </c>
      <c r="C319" s="515"/>
      <c r="D319" s="515"/>
      <c r="E319" s="516"/>
      <c r="F319" s="123"/>
      <c r="G319" s="123"/>
      <c r="H319" s="123"/>
      <c r="I319" s="123"/>
      <c r="J319" s="123"/>
      <c r="K319" s="123"/>
    </row>
    <row r="320" spans="1:11" x14ac:dyDescent="0.25">
      <c r="A320" s="127"/>
      <c r="B320" s="123"/>
      <c r="C320" s="123"/>
      <c r="D320" s="123"/>
      <c r="E320" s="123"/>
      <c r="F320" s="123"/>
      <c r="G320" s="123"/>
      <c r="H320" s="123"/>
      <c r="I320" s="123"/>
      <c r="J320" s="123"/>
      <c r="K320" s="123"/>
    </row>
    <row r="321" spans="1:12" x14ac:dyDescent="0.25">
      <c r="A321" s="127"/>
      <c r="B321" s="718" t="s">
        <v>2003</v>
      </c>
      <c r="C321" s="123"/>
      <c r="D321" s="123"/>
      <c r="E321" s="123"/>
      <c r="F321" s="123"/>
      <c r="G321" s="123"/>
      <c r="H321" s="123"/>
      <c r="I321" s="123"/>
      <c r="J321" s="123"/>
      <c r="K321" s="123"/>
    </row>
    <row r="322" spans="1:12" x14ac:dyDescent="0.25">
      <c r="A322" s="123"/>
      <c r="B322" s="123"/>
      <c r="C322" s="123"/>
      <c r="D322" s="123"/>
      <c r="E322" s="123"/>
      <c r="F322" s="123"/>
      <c r="G322" s="123"/>
      <c r="H322" s="123"/>
      <c r="I322" s="123"/>
      <c r="J322" s="123"/>
      <c r="K322" s="123"/>
    </row>
    <row r="323" spans="1:12" ht="18" customHeight="1" x14ac:dyDescent="0.25">
      <c r="A323" s="123"/>
      <c r="B323" s="1884" t="str">
        <f>IF('Project information'!C205="Full Certification stage","• Have some water fixtures of the base building been replaced or altered?","• Will some water fixtures of the base building be replaced or altered?")</f>
        <v>• Will some water fixtures of the base building be replaced or altered?</v>
      </c>
      <c r="C323" s="1885"/>
      <c r="D323" s="1885"/>
      <c r="E323" s="1886"/>
      <c r="F323" s="939" t="s">
        <v>62</v>
      </c>
      <c r="G323" s="123"/>
      <c r="H323" s="123"/>
      <c r="I323" s="123"/>
      <c r="J323" s="123"/>
      <c r="K323" s="123"/>
    </row>
    <row r="324" spans="1:12" x14ac:dyDescent="0.25">
      <c r="A324" s="123"/>
      <c r="B324" s="123"/>
      <c r="C324" s="123"/>
      <c r="D324" s="123"/>
      <c r="E324" s="123"/>
      <c r="F324" s="123"/>
      <c r="G324" s="123"/>
      <c r="H324" s="123"/>
      <c r="I324" s="123"/>
      <c r="J324" s="123"/>
      <c r="K324" s="123"/>
    </row>
    <row r="325" spans="1:12" ht="26.25" customHeight="1" x14ac:dyDescent="0.25">
      <c r="A325" s="123"/>
      <c r="B325" s="963" t="s">
        <v>1574</v>
      </c>
      <c r="C325" s="1880" t="str">
        <f>IF('Project information'!C201="Full Certification stage","Water usage of the previous fixture","Water usage of the existing fixture")</f>
        <v>Water usage of the existing fixture</v>
      </c>
      <c r="D325" s="1880"/>
      <c r="E325" s="1880" t="str">
        <f>IF('Project information'!C201="Full Certification stage","Water usage of the new fixture","Water usage of the proposed fixture")</f>
        <v>Water usage of the proposed fixture</v>
      </c>
      <c r="F325" s="1880"/>
      <c r="G325" s="1880" t="s">
        <v>15</v>
      </c>
      <c r="H325" s="1874"/>
      <c r="I325" s="123"/>
      <c r="J325" s="123"/>
      <c r="K325" s="123"/>
    </row>
    <row r="326" spans="1:12" x14ac:dyDescent="0.25">
      <c r="A326" s="123"/>
      <c r="B326" s="962" t="s">
        <v>62</v>
      </c>
      <c r="C326" s="940"/>
      <c r="D326" s="965" t="str">
        <f>IF(OR($B326="Water-closet",$B326="Urinal"),"Litres per flush",IF(AND($B326&lt;&gt;"Select",$B326&lt;&gt;"Other"),"Litres per second",""))</f>
        <v/>
      </c>
      <c r="E326" s="940"/>
      <c r="F326" s="965" t="str">
        <f>IF(OR($B326="Water-closet",$B326="Urinal"),"Litres per flush",IF(AND($B326&lt;&gt;"Select",$B326&lt;&gt;"Other"),"Litres per second",""))</f>
        <v/>
      </c>
      <c r="G326" s="1881"/>
      <c r="H326" s="1882"/>
      <c r="I326" s="123"/>
      <c r="J326" s="123"/>
      <c r="K326" s="123"/>
      <c r="L326" s="37" t="str">
        <f>IF(B326="Select","/",IF(AND(E326="",C326=""),"/",IF(E326&lt;C326,"Yes","No")))</f>
        <v>/</v>
      </c>
    </row>
    <row r="327" spans="1:12" x14ac:dyDescent="0.25">
      <c r="A327" s="123"/>
      <c r="B327" s="962" t="s">
        <v>62</v>
      </c>
      <c r="C327" s="940"/>
      <c r="D327" s="965" t="str">
        <f t="shared" ref="D327:F330" si="16">IF(OR($B327="Water-closet",$B327="Urinal"),"Litres per flush",IF(AND($B327&lt;&gt;"Select",$B327&lt;&gt;"Other"),"Litres per second",""))</f>
        <v/>
      </c>
      <c r="E327" s="940"/>
      <c r="F327" s="965" t="str">
        <f t="shared" si="16"/>
        <v/>
      </c>
      <c r="G327" s="1881"/>
      <c r="H327" s="1882"/>
      <c r="I327" s="123"/>
      <c r="J327" s="123"/>
      <c r="K327" s="123"/>
      <c r="L327" s="37" t="str">
        <f t="shared" ref="L327:L330" si="17">IF(B327="Select","/",IF(AND(E327="",C327=""),"/",IF(E327&lt;C327,"Yes","No")))</f>
        <v>/</v>
      </c>
    </row>
    <row r="328" spans="1:12" x14ac:dyDescent="0.25">
      <c r="A328" s="123"/>
      <c r="B328" s="962" t="s">
        <v>62</v>
      </c>
      <c r="C328" s="940"/>
      <c r="D328" s="965" t="str">
        <f t="shared" si="16"/>
        <v/>
      </c>
      <c r="E328" s="940"/>
      <c r="F328" s="965" t="str">
        <f t="shared" si="16"/>
        <v/>
      </c>
      <c r="G328" s="1881"/>
      <c r="H328" s="1882"/>
      <c r="I328" s="123"/>
      <c r="J328" s="123"/>
      <c r="K328" s="123"/>
      <c r="L328" s="37" t="str">
        <f t="shared" si="17"/>
        <v>/</v>
      </c>
    </row>
    <row r="329" spans="1:12" x14ac:dyDescent="0.25">
      <c r="A329" s="123"/>
      <c r="B329" s="962" t="s">
        <v>62</v>
      </c>
      <c r="C329" s="940"/>
      <c r="D329" s="965" t="str">
        <f t="shared" si="16"/>
        <v/>
      </c>
      <c r="E329" s="940"/>
      <c r="F329" s="965" t="str">
        <f t="shared" si="16"/>
        <v/>
      </c>
      <c r="G329" s="1881"/>
      <c r="H329" s="1882"/>
      <c r="I329" s="123"/>
      <c r="J329" s="123"/>
      <c r="K329" s="123"/>
      <c r="L329" s="37" t="str">
        <f t="shared" si="17"/>
        <v>/</v>
      </c>
    </row>
    <row r="330" spans="1:12" x14ac:dyDescent="0.25">
      <c r="A330" s="123"/>
      <c r="B330" s="962" t="s">
        <v>62</v>
      </c>
      <c r="C330" s="940"/>
      <c r="D330" s="965" t="str">
        <f t="shared" si="16"/>
        <v/>
      </c>
      <c r="E330" s="940"/>
      <c r="F330" s="965" t="str">
        <f t="shared" si="16"/>
        <v/>
      </c>
      <c r="G330" s="1881"/>
      <c r="H330" s="1882"/>
      <c r="I330" s="123"/>
      <c r="J330" s="123"/>
      <c r="K330" s="123"/>
      <c r="L330" s="37" t="str">
        <f t="shared" si="17"/>
        <v>/</v>
      </c>
    </row>
    <row r="331" spans="1:12" ht="17.25" customHeight="1" x14ac:dyDescent="0.25">
      <c r="A331" s="123"/>
      <c r="B331" s="123"/>
      <c r="C331" s="123"/>
      <c r="D331" s="123"/>
      <c r="E331" s="123"/>
      <c r="F331" s="123"/>
      <c r="G331" s="123"/>
      <c r="H331" s="123"/>
      <c r="I331" s="123"/>
      <c r="J331" s="123"/>
      <c r="K331" s="123"/>
    </row>
    <row r="332" spans="1:12" ht="18" customHeight="1" x14ac:dyDescent="0.25">
      <c r="A332" s="123"/>
      <c r="B332" s="1869" t="s">
        <v>1690</v>
      </c>
      <c r="C332" s="1869"/>
      <c r="D332" s="1869"/>
      <c r="E332" s="64" t="str">
        <f>IF(AND(COUNTIF(L326:L330,"No")=0,COUNTIF(L326:L330,"Yes")&gt;0),"Yes","No")</f>
        <v>No</v>
      </c>
      <c r="F332" s="123"/>
      <c r="G332" s="123"/>
      <c r="H332" s="123"/>
      <c r="I332" s="123"/>
      <c r="J332" s="123"/>
      <c r="K332" s="123"/>
    </row>
    <row r="333" spans="1:12" ht="19.5" customHeight="1" x14ac:dyDescent="0.25">
      <c r="A333" s="123"/>
      <c r="B333" s="123"/>
      <c r="C333" s="123"/>
      <c r="D333" s="123"/>
      <c r="E333" s="123"/>
      <c r="F333" s="123"/>
      <c r="G333" s="123"/>
      <c r="H333" s="123"/>
      <c r="I333" s="123"/>
      <c r="J333" s="123"/>
      <c r="K333" s="123"/>
    </row>
    <row r="334" spans="1:12" ht="16.5" customHeight="1" x14ac:dyDescent="0.25">
      <c r="A334" s="1851" t="s">
        <v>97</v>
      </c>
      <c r="B334" s="1851"/>
      <c r="C334" s="1851"/>
      <c r="D334" s="127"/>
      <c r="E334" s="127"/>
      <c r="F334" s="127"/>
      <c r="G334" s="127"/>
      <c r="H334" s="127"/>
      <c r="I334" s="127"/>
      <c r="J334" s="127"/>
      <c r="K334" s="127"/>
    </row>
    <row r="335" spans="1:12" x14ac:dyDescent="0.25">
      <c r="A335" s="838"/>
      <c r="B335" s="123"/>
      <c r="C335" s="123"/>
      <c r="D335" s="123"/>
      <c r="E335" s="123"/>
      <c r="F335" s="123"/>
      <c r="G335" s="123"/>
      <c r="H335" s="123"/>
      <c r="I335" s="838"/>
      <c r="J335" s="838"/>
      <c r="K335" s="838"/>
    </row>
    <row r="336" spans="1:12" ht="21" customHeight="1" x14ac:dyDescent="0.25">
      <c r="A336" s="838"/>
      <c r="B336" s="1871" t="s">
        <v>98</v>
      </c>
      <c r="C336" s="1872"/>
      <c r="D336" s="1872"/>
      <c r="E336" s="1872"/>
      <c r="F336" s="1872"/>
      <c r="G336" s="946" t="s">
        <v>1297</v>
      </c>
      <c r="H336" s="1878" t="s">
        <v>1298</v>
      </c>
      <c r="I336" s="1878"/>
      <c r="J336" s="838"/>
      <c r="K336" s="838"/>
    </row>
    <row r="337" spans="1:12" ht="39" customHeight="1" x14ac:dyDescent="0.25">
      <c r="A337" s="838"/>
      <c r="B337" s="1644" t="str">
        <f>Submittals!H45</f>
        <v>Select the Submission Stage in Project Information</v>
      </c>
      <c r="C337" s="1645"/>
      <c r="D337" s="1645"/>
      <c r="E337" s="1645"/>
      <c r="F337" s="1645"/>
      <c r="G337" s="939" t="s">
        <v>62</v>
      </c>
      <c r="H337" s="1625"/>
      <c r="I337" s="1662"/>
      <c r="J337" s="838"/>
      <c r="K337" s="838"/>
      <c r="L337" s="37" t="str">
        <f>IF(OR(B337="/",B337="No evidence required at this submission stage"),"Yes",IF(G337="Submitted","Yes","No"))</f>
        <v>No</v>
      </c>
    </row>
    <row r="338" spans="1:12" ht="39" customHeight="1" x14ac:dyDescent="0.25">
      <c r="A338" s="838"/>
      <c r="B338" s="1644" t="str">
        <f>Submittals!H46</f>
        <v>Select the Submission Stage in Project Information</v>
      </c>
      <c r="C338" s="1645"/>
      <c r="D338" s="1645"/>
      <c r="E338" s="1645"/>
      <c r="F338" s="1645"/>
      <c r="G338" s="939" t="s">
        <v>62</v>
      </c>
      <c r="H338" s="1625"/>
      <c r="I338" s="1662"/>
      <c r="J338" s="838"/>
      <c r="K338" s="838"/>
      <c r="L338" s="37" t="str">
        <f>IF(OR(B338="/",B338="No evidence required at this submission stage"),"Yes",IF(G338="Submitted","Yes","No"))</f>
        <v>No</v>
      </c>
    </row>
    <row r="339" spans="1:12" ht="42" customHeight="1" x14ac:dyDescent="0.25">
      <c r="A339" s="838"/>
      <c r="B339" s="1644" t="str">
        <f>Submittals!H47</f>
        <v>Select the Submission Stage in Project Information</v>
      </c>
      <c r="C339" s="1645"/>
      <c r="D339" s="1645"/>
      <c r="E339" s="1645"/>
      <c r="F339" s="1645"/>
      <c r="G339" s="1271" t="s">
        <v>62</v>
      </c>
      <c r="H339" s="1625"/>
      <c r="I339" s="1626"/>
      <c r="J339" s="127"/>
      <c r="K339" s="127"/>
      <c r="L339" s="37" t="str">
        <f>IF(OR(B339="/",B339="No evidence required at this submission stage"),"Yes",IF(OR(G339="Already approved at PC",G339="Submitted"),"Yes","No"))</f>
        <v>No</v>
      </c>
    </row>
    <row r="340" spans="1:12" ht="19.5" customHeight="1" x14ac:dyDescent="0.25">
      <c r="A340" s="838"/>
      <c r="B340" s="123"/>
      <c r="C340" s="838"/>
      <c r="D340" s="838"/>
      <c r="E340" s="838"/>
      <c r="F340" s="838"/>
      <c r="G340" s="838"/>
      <c r="H340" s="838"/>
      <c r="I340" s="838"/>
      <c r="J340" s="838"/>
      <c r="K340" s="838"/>
    </row>
    <row r="341" spans="1:12" ht="16.5" customHeight="1" x14ac:dyDescent="0.25">
      <c r="A341" s="1851" t="s">
        <v>8</v>
      </c>
      <c r="B341" s="1851"/>
      <c r="C341" s="1851"/>
      <c r="D341" s="838"/>
      <c r="E341" s="838"/>
      <c r="F341" s="838"/>
      <c r="G341" s="838"/>
      <c r="H341" s="838"/>
      <c r="I341" s="838"/>
      <c r="J341" s="838"/>
      <c r="K341" s="838"/>
    </row>
    <row r="342" spans="1:12" x14ac:dyDescent="0.25">
      <c r="A342" s="838"/>
      <c r="B342" s="123"/>
      <c r="C342" s="123"/>
      <c r="D342" s="123"/>
      <c r="E342" s="123"/>
      <c r="F342" s="123"/>
      <c r="G342" s="123"/>
      <c r="H342" s="123"/>
      <c r="I342" s="123"/>
      <c r="J342" s="123"/>
      <c r="K342" s="123"/>
    </row>
    <row r="343" spans="1:12" ht="18" customHeight="1" x14ac:dyDescent="0.25">
      <c r="A343" s="838"/>
      <c r="B343" s="114" t="s">
        <v>19</v>
      </c>
      <c r="C343" s="8">
        <f>IF(F11="Yes",0,IF(E332="Yes",1,0))</f>
        <v>0</v>
      </c>
      <c r="D343" s="838"/>
      <c r="E343" s="838"/>
      <c r="F343" s="838"/>
      <c r="G343" s="838"/>
      <c r="H343" s="838"/>
      <c r="I343" s="838"/>
      <c r="J343" s="838"/>
      <c r="K343" s="838"/>
    </row>
    <row r="344" spans="1:12" ht="18" customHeight="1" collapsed="1" x14ac:dyDescent="0.25">
      <c r="A344" s="838"/>
      <c r="B344" s="122" t="s">
        <v>151</v>
      </c>
      <c r="C344" s="964" t="str">
        <f>IF(F164="No","No",IF(AND(COUNTIF(L337:L339,"Yes")=3,C343&gt;0),"Yes","No"))</f>
        <v>No</v>
      </c>
      <c r="D344" s="838"/>
      <c r="E344" s="838"/>
      <c r="F344" s="838"/>
      <c r="G344" s="838"/>
      <c r="H344" s="838"/>
      <c r="I344" s="838"/>
      <c r="J344" s="838"/>
      <c r="K344" s="838"/>
    </row>
    <row r="345" spans="1:12" ht="24" customHeight="1" x14ac:dyDescent="0.25">
      <c r="A345" s="838"/>
      <c r="B345" s="123"/>
      <c r="C345" s="127"/>
      <c r="D345" s="123"/>
      <c r="E345" s="123"/>
      <c r="F345" s="123"/>
      <c r="G345" s="123"/>
      <c r="H345" s="123"/>
      <c r="I345" s="123"/>
      <c r="J345" s="123"/>
      <c r="K345" s="123"/>
    </row>
    <row r="346" spans="1:12" ht="18" customHeight="1" x14ac:dyDescent="0.25">
      <c r="A346" s="1841" t="s">
        <v>1695</v>
      </c>
      <c r="B346" s="1841"/>
      <c r="C346" s="1841"/>
      <c r="D346" s="1841"/>
      <c r="E346" s="1841"/>
      <c r="F346" s="1841"/>
      <c r="G346" s="1841"/>
      <c r="H346" s="1841"/>
      <c r="I346" s="1841"/>
      <c r="J346" s="1841"/>
      <c r="K346" s="1841"/>
    </row>
    <row r="347" spans="1:12" ht="15" customHeight="1" x14ac:dyDescent="0.25">
      <c r="A347" s="838"/>
      <c r="B347" s="123"/>
      <c r="C347" s="123"/>
      <c r="D347" s="123"/>
      <c r="E347" s="123"/>
      <c r="F347" s="123"/>
      <c r="G347" s="123"/>
      <c r="H347" s="123"/>
      <c r="I347" s="123"/>
      <c r="J347" s="123"/>
      <c r="K347" s="123"/>
    </row>
    <row r="348" spans="1:12" ht="16.5" customHeight="1" x14ac:dyDescent="0.25">
      <c r="A348" s="1851" t="s">
        <v>117</v>
      </c>
      <c r="B348" s="1851"/>
      <c r="C348" s="1851"/>
      <c r="D348" s="123"/>
      <c r="E348" s="123"/>
      <c r="F348" s="123"/>
      <c r="G348" s="123"/>
      <c r="H348" s="123"/>
      <c r="I348" s="123"/>
      <c r="J348" s="123"/>
      <c r="K348" s="123"/>
    </row>
    <row r="349" spans="1:12" ht="15" customHeight="1" x14ac:dyDescent="0.25">
      <c r="A349" s="838"/>
      <c r="B349" s="123"/>
      <c r="C349" s="123"/>
      <c r="D349" s="123"/>
      <c r="E349" s="123"/>
      <c r="F349" s="123"/>
      <c r="G349" s="123"/>
      <c r="H349" s="123"/>
      <c r="I349" s="123"/>
      <c r="J349" s="123"/>
      <c r="K349" s="123"/>
    </row>
    <row r="350" spans="1:12" ht="15" customHeight="1" x14ac:dyDescent="0.25">
      <c r="A350" s="838"/>
      <c r="B350" s="966" t="s">
        <v>1506</v>
      </c>
      <c r="C350" s="123"/>
      <c r="D350" s="123"/>
      <c r="E350" s="123"/>
      <c r="F350" s="123"/>
      <c r="G350" s="123"/>
      <c r="H350" s="123"/>
      <c r="I350" s="123"/>
      <c r="J350" s="123"/>
      <c r="K350" s="123"/>
    </row>
    <row r="351" spans="1:12" ht="15" customHeight="1" x14ac:dyDescent="0.25">
      <c r="A351" s="838"/>
      <c r="B351" s="123"/>
      <c r="C351" s="123"/>
      <c r="D351" s="123"/>
      <c r="E351" s="123"/>
      <c r="F351" s="123"/>
      <c r="G351" s="123"/>
      <c r="H351" s="123"/>
      <c r="I351" s="123"/>
      <c r="J351" s="123"/>
      <c r="K351" s="123"/>
    </row>
    <row r="352" spans="1:12" ht="15" customHeight="1" x14ac:dyDescent="0.25">
      <c r="A352" s="838"/>
      <c r="B352" s="966" t="s">
        <v>1698</v>
      </c>
      <c r="C352" s="123"/>
      <c r="D352" s="123"/>
      <c r="E352" s="123"/>
      <c r="F352" s="123"/>
      <c r="G352" s="123"/>
      <c r="H352" s="123"/>
      <c r="I352" s="123"/>
      <c r="J352" s="123"/>
      <c r="K352" s="123"/>
    </row>
    <row r="353" spans="1:16" ht="17.25" customHeight="1" x14ac:dyDescent="0.25">
      <c r="A353" s="838"/>
      <c r="B353" s="123"/>
      <c r="C353" s="123"/>
      <c r="D353" s="123"/>
      <c r="E353" s="123"/>
      <c r="F353" s="123"/>
      <c r="G353" s="123"/>
      <c r="H353" s="123"/>
      <c r="I353" s="123"/>
      <c r="J353" s="123"/>
      <c r="K353" s="123"/>
    </row>
    <row r="354" spans="1:16" x14ac:dyDescent="0.25">
      <c r="A354" s="123"/>
      <c r="B354" s="1891" t="s">
        <v>1573</v>
      </c>
      <c r="C354" s="1891"/>
      <c r="D354" s="1891"/>
      <c r="E354" s="1891"/>
      <c r="F354" s="123"/>
      <c r="G354" s="123"/>
      <c r="H354" s="123"/>
      <c r="I354" s="123"/>
      <c r="J354" s="123"/>
      <c r="K354" s="123"/>
      <c r="M354" s="37" t="s">
        <v>62</v>
      </c>
    </row>
    <row r="355" spans="1:16" ht="21" customHeight="1" x14ac:dyDescent="0.25">
      <c r="A355" s="123"/>
      <c r="B355" s="1862" t="s">
        <v>373</v>
      </c>
      <c r="C355" s="1863"/>
      <c r="D355" s="1874" t="s">
        <v>929</v>
      </c>
      <c r="E355" s="1862"/>
      <c r="F355" s="123"/>
      <c r="G355" s="123"/>
      <c r="H355" s="123"/>
      <c r="I355" s="123"/>
      <c r="J355" s="123"/>
      <c r="K355" s="123"/>
      <c r="M355" s="935" t="s">
        <v>1593</v>
      </c>
      <c r="N355" s="37" t="s">
        <v>1586</v>
      </c>
      <c r="O355" s="937" t="s">
        <v>375</v>
      </c>
      <c r="P355" s="937"/>
    </row>
    <row r="356" spans="1:16" ht="15.75" customHeight="1" x14ac:dyDescent="0.25">
      <c r="A356" s="123"/>
      <c r="B356" s="1832" t="s">
        <v>374</v>
      </c>
      <c r="C356" s="1832"/>
      <c r="D356" s="1832"/>
      <c r="E356" s="1832"/>
      <c r="F356" s="123"/>
      <c r="G356" s="123"/>
      <c r="H356" s="123"/>
      <c r="I356" s="123"/>
      <c r="J356" s="123"/>
      <c r="K356" s="123"/>
      <c r="M356" s="37" t="s">
        <v>376</v>
      </c>
      <c r="N356" s="37" t="s">
        <v>1592</v>
      </c>
      <c r="O356" s="937" t="s">
        <v>377</v>
      </c>
      <c r="P356" s="937">
        <v>120</v>
      </c>
    </row>
    <row r="357" spans="1:16" ht="30.75" customHeight="1" x14ac:dyDescent="0.25">
      <c r="A357" s="123"/>
      <c r="B357" s="1831" t="s">
        <v>405</v>
      </c>
      <c r="C357" s="1831"/>
      <c r="D357" s="1831" t="s">
        <v>375</v>
      </c>
      <c r="E357" s="1831"/>
      <c r="F357" s="123"/>
      <c r="G357" s="123"/>
      <c r="H357" s="123"/>
      <c r="I357" s="123"/>
      <c r="J357" s="123"/>
      <c r="K357" s="123"/>
      <c r="M357" s="37" t="s">
        <v>379</v>
      </c>
      <c r="N357" s="37" t="s">
        <v>1588</v>
      </c>
      <c r="O357" s="937" t="s">
        <v>380</v>
      </c>
      <c r="P357" s="937">
        <v>1000</v>
      </c>
    </row>
    <row r="358" spans="1:16" ht="15.75" customHeight="1" x14ac:dyDescent="0.25">
      <c r="A358" s="123"/>
      <c r="B358" s="1831" t="s">
        <v>376</v>
      </c>
      <c r="C358" s="1831"/>
      <c r="D358" s="1831" t="s">
        <v>377</v>
      </c>
      <c r="E358" s="1831"/>
      <c r="F358" s="123"/>
      <c r="G358" s="123"/>
      <c r="H358" s="123"/>
      <c r="I358" s="123"/>
      <c r="J358" s="123"/>
      <c r="K358" s="123"/>
      <c r="M358" s="37" t="s">
        <v>381</v>
      </c>
      <c r="N358" s="37" t="s">
        <v>1587</v>
      </c>
      <c r="O358" s="937" t="s">
        <v>382</v>
      </c>
      <c r="P358" s="937">
        <v>4.9000000000000004</v>
      </c>
    </row>
    <row r="359" spans="1:16" ht="15.75" customHeight="1" x14ac:dyDescent="0.25">
      <c r="A359" s="123"/>
      <c r="B359" s="1832" t="s">
        <v>378</v>
      </c>
      <c r="C359" s="1832"/>
      <c r="D359" s="1832"/>
      <c r="E359" s="1832"/>
      <c r="F359" s="123"/>
      <c r="G359" s="123"/>
      <c r="H359" s="123"/>
      <c r="I359" s="123"/>
      <c r="J359" s="123"/>
      <c r="K359" s="123"/>
      <c r="M359" s="37" t="s">
        <v>383</v>
      </c>
      <c r="N359" s="37" t="s">
        <v>1586</v>
      </c>
      <c r="O359" s="937" t="s">
        <v>384</v>
      </c>
      <c r="P359" s="937"/>
    </row>
    <row r="360" spans="1:16" ht="15" customHeight="1" x14ac:dyDescent="0.25">
      <c r="A360" s="123"/>
      <c r="B360" s="1831" t="s">
        <v>379</v>
      </c>
      <c r="C360" s="1831"/>
      <c r="D360" s="1831" t="s">
        <v>380</v>
      </c>
      <c r="E360" s="1831"/>
      <c r="F360" s="123"/>
      <c r="G360" s="123"/>
      <c r="H360" s="123"/>
      <c r="I360" s="123"/>
      <c r="J360" s="123"/>
      <c r="K360" s="123"/>
      <c r="M360" s="37" t="s">
        <v>1576</v>
      </c>
      <c r="N360" s="37" t="s">
        <v>1585</v>
      </c>
      <c r="O360" s="937" t="s">
        <v>387</v>
      </c>
      <c r="P360" s="937">
        <v>6</v>
      </c>
    </row>
    <row r="361" spans="1:16" ht="15.75" customHeight="1" x14ac:dyDescent="0.25">
      <c r="A361" s="123"/>
      <c r="B361" s="1831" t="s">
        <v>381</v>
      </c>
      <c r="C361" s="1831"/>
      <c r="D361" s="1831" t="s">
        <v>382</v>
      </c>
      <c r="E361" s="1831"/>
      <c r="F361" s="123"/>
      <c r="G361" s="123"/>
      <c r="H361" s="123"/>
      <c r="I361" s="123"/>
      <c r="J361" s="123"/>
      <c r="K361" s="123"/>
      <c r="M361" s="37" t="s">
        <v>1584</v>
      </c>
      <c r="N361" s="37" t="s">
        <v>1585</v>
      </c>
      <c r="O361" s="937" t="s">
        <v>389</v>
      </c>
      <c r="P361" s="937">
        <v>5.3</v>
      </c>
    </row>
    <row r="362" spans="1:16" ht="54" customHeight="1" x14ac:dyDescent="0.25">
      <c r="A362" s="123"/>
      <c r="B362" s="1831" t="s">
        <v>383</v>
      </c>
      <c r="C362" s="1831"/>
      <c r="D362" s="1831" t="s">
        <v>384</v>
      </c>
      <c r="E362" s="1831"/>
      <c r="F362" s="123"/>
      <c r="G362" s="123"/>
      <c r="H362" s="123"/>
      <c r="I362" s="123"/>
      <c r="J362" s="123"/>
      <c r="K362" s="123"/>
      <c r="M362" s="37" t="s">
        <v>1583</v>
      </c>
      <c r="N362" s="37" t="s">
        <v>1589</v>
      </c>
      <c r="O362" s="937" t="s">
        <v>391</v>
      </c>
      <c r="P362" s="937">
        <v>3.8</v>
      </c>
    </row>
    <row r="363" spans="1:16" ht="15" customHeight="1" x14ac:dyDescent="0.25">
      <c r="A363" s="123"/>
      <c r="B363" s="1832" t="s">
        <v>385</v>
      </c>
      <c r="C363" s="1832"/>
      <c r="D363" s="1832"/>
      <c r="E363" s="1832"/>
      <c r="F363" s="123"/>
      <c r="G363" s="123"/>
      <c r="H363" s="123"/>
      <c r="I363" s="123"/>
      <c r="J363" s="123"/>
      <c r="K363" s="123"/>
      <c r="M363" s="37" t="s">
        <v>1582</v>
      </c>
      <c r="N363" s="37" t="s">
        <v>1589</v>
      </c>
      <c r="O363" s="937" t="s">
        <v>393</v>
      </c>
      <c r="P363" s="937">
        <v>3.4</v>
      </c>
    </row>
    <row r="364" spans="1:16" ht="15" customHeight="1" x14ac:dyDescent="0.25">
      <c r="A364" s="123"/>
      <c r="B364" s="1873" t="s">
        <v>287</v>
      </c>
      <c r="C364" s="945" t="s">
        <v>386</v>
      </c>
      <c r="D364" s="1831" t="s">
        <v>387</v>
      </c>
      <c r="E364" s="1831"/>
      <c r="F364" s="123"/>
      <c r="G364" s="123"/>
      <c r="H364" s="123"/>
      <c r="I364" s="123"/>
      <c r="J364" s="123"/>
      <c r="K364" s="123"/>
      <c r="M364" s="37" t="s">
        <v>1581</v>
      </c>
      <c r="N364" s="37" t="s">
        <v>1590</v>
      </c>
      <c r="O364" s="937" t="s">
        <v>395</v>
      </c>
      <c r="P364" s="937">
        <v>680</v>
      </c>
    </row>
    <row r="365" spans="1:16" ht="25.5" x14ac:dyDescent="0.25">
      <c r="A365" s="123"/>
      <c r="B365" s="1873"/>
      <c r="C365" s="945" t="s">
        <v>388</v>
      </c>
      <c r="D365" s="1831" t="s">
        <v>389</v>
      </c>
      <c r="E365" s="1831"/>
      <c r="F365" s="123"/>
      <c r="G365" s="123"/>
      <c r="H365" s="123"/>
      <c r="I365" s="123"/>
      <c r="J365" s="123"/>
      <c r="K365" s="123"/>
      <c r="M365" s="37" t="s">
        <v>1579</v>
      </c>
      <c r="N365" s="37" t="s">
        <v>1591</v>
      </c>
      <c r="O365" s="937" t="s">
        <v>398</v>
      </c>
      <c r="P365" s="937">
        <v>23</v>
      </c>
    </row>
    <row r="366" spans="1:16" ht="15" customHeight="1" x14ac:dyDescent="0.25">
      <c r="A366" s="123"/>
      <c r="B366" s="1873"/>
      <c r="C366" s="945" t="s">
        <v>390</v>
      </c>
      <c r="D366" s="1831" t="s">
        <v>391</v>
      </c>
      <c r="E366" s="1831"/>
      <c r="F366" s="123"/>
      <c r="G366" s="123"/>
      <c r="H366" s="123"/>
      <c r="I366" s="123"/>
      <c r="J366" s="123"/>
      <c r="K366" s="123"/>
      <c r="M366" s="37" t="s">
        <v>1580</v>
      </c>
      <c r="N366" s="37" t="s">
        <v>1591</v>
      </c>
      <c r="O366" s="937" t="s">
        <v>400</v>
      </c>
      <c r="P366" s="937">
        <v>38</v>
      </c>
    </row>
    <row r="367" spans="1:16" ht="15" customHeight="1" x14ac:dyDescent="0.25">
      <c r="A367" s="123"/>
      <c r="B367" s="1873"/>
      <c r="C367" s="945" t="s">
        <v>392</v>
      </c>
      <c r="D367" s="1831" t="s">
        <v>393</v>
      </c>
      <c r="E367" s="1831"/>
      <c r="F367" s="123"/>
      <c r="G367" s="123"/>
      <c r="H367" s="123"/>
      <c r="I367" s="123"/>
      <c r="J367" s="123"/>
      <c r="K367" s="123"/>
      <c r="M367" s="37" t="s">
        <v>1578</v>
      </c>
      <c r="N367" s="37" t="s">
        <v>1591</v>
      </c>
      <c r="O367" s="937" t="s">
        <v>403</v>
      </c>
      <c r="P367" s="937">
        <v>13</v>
      </c>
    </row>
    <row r="368" spans="1:16" ht="15" customHeight="1" x14ac:dyDescent="0.25">
      <c r="A368" s="123"/>
      <c r="B368" s="1873"/>
      <c r="C368" s="945" t="s">
        <v>394</v>
      </c>
      <c r="D368" s="1831" t="s">
        <v>395</v>
      </c>
      <c r="E368" s="1831"/>
      <c r="F368" s="123"/>
      <c r="G368" s="123"/>
      <c r="H368" s="123"/>
      <c r="I368" s="123"/>
      <c r="J368" s="123"/>
      <c r="K368" s="123"/>
      <c r="M368" s="37" t="s">
        <v>1577</v>
      </c>
      <c r="N368" s="37" t="s">
        <v>1591</v>
      </c>
      <c r="O368" s="937" t="s">
        <v>403</v>
      </c>
      <c r="P368" s="937">
        <v>13</v>
      </c>
    </row>
    <row r="369" spans="1:12" x14ac:dyDescent="0.25">
      <c r="A369" s="123"/>
      <c r="B369" s="1873" t="s">
        <v>396</v>
      </c>
      <c r="C369" s="945" t="s">
        <v>397</v>
      </c>
      <c r="D369" s="1831" t="s">
        <v>398</v>
      </c>
      <c r="E369" s="1831"/>
      <c r="F369" s="123"/>
      <c r="G369" s="123"/>
      <c r="H369" s="123"/>
      <c r="I369" s="123"/>
      <c r="J369" s="123"/>
      <c r="K369" s="123"/>
    </row>
    <row r="370" spans="1:12" x14ac:dyDescent="0.25">
      <c r="A370" s="123"/>
      <c r="B370" s="1873"/>
      <c r="C370" s="945" t="s">
        <v>399</v>
      </c>
      <c r="D370" s="1831" t="s">
        <v>400</v>
      </c>
      <c r="E370" s="1831"/>
      <c r="F370" s="123"/>
      <c r="G370" s="123"/>
      <c r="H370" s="123"/>
      <c r="I370" s="123"/>
      <c r="J370" s="123"/>
      <c r="K370" s="123"/>
    </row>
    <row r="371" spans="1:12" x14ac:dyDescent="0.25">
      <c r="A371" s="123"/>
      <c r="B371" s="1873" t="s">
        <v>401</v>
      </c>
      <c r="C371" s="945" t="s">
        <v>402</v>
      </c>
      <c r="D371" s="1831" t="s">
        <v>403</v>
      </c>
      <c r="E371" s="1831"/>
      <c r="F371" s="123"/>
      <c r="G371" s="123"/>
      <c r="H371" s="123"/>
      <c r="I371" s="123"/>
      <c r="J371" s="123"/>
      <c r="K371" s="123"/>
    </row>
    <row r="372" spans="1:12" x14ac:dyDescent="0.25">
      <c r="A372" s="123"/>
      <c r="B372" s="1873"/>
      <c r="C372" s="945" t="s">
        <v>404</v>
      </c>
      <c r="D372" s="1831" t="s">
        <v>403</v>
      </c>
      <c r="E372" s="1831"/>
      <c r="F372" s="123"/>
      <c r="G372" s="123"/>
      <c r="H372" s="123"/>
      <c r="I372" s="123"/>
      <c r="J372" s="123"/>
      <c r="K372" s="123"/>
    </row>
    <row r="373" spans="1:12" x14ac:dyDescent="0.25">
      <c r="A373" s="123"/>
      <c r="B373" s="123"/>
      <c r="C373" s="123"/>
      <c r="D373" s="123"/>
      <c r="E373" s="123"/>
      <c r="F373" s="123"/>
      <c r="G373" s="123"/>
      <c r="H373" s="123"/>
      <c r="I373" s="123"/>
      <c r="J373" s="123"/>
      <c r="K373" s="123"/>
    </row>
    <row r="374" spans="1:12" x14ac:dyDescent="0.25">
      <c r="A374" s="123"/>
      <c r="B374" s="718" t="s">
        <v>1594</v>
      </c>
      <c r="C374" s="123"/>
      <c r="D374" s="123"/>
      <c r="E374" s="123"/>
      <c r="F374" s="123"/>
      <c r="G374" s="123"/>
      <c r="H374" s="123"/>
      <c r="I374" s="123"/>
      <c r="J374" s="123"/>
      <c r="K374" s="123"/>
    </row>
    <row r="375" spans="1:12" x14ac:dyDescent="0.25">
      <c r="A375" s="123"/>
      <c r="B375" s="123"/>
      <c r="C375" s="123"/>
      <c r="D375" s="123"/>
      <c r="E375" s="123"/>
      <c r="F375" s="123"/>
      <c r="G375" s="123"/>
      <c r="H375" s="123"/>
      <c r="I375" s="123"/>
      <c r="J375" s="123"/>
      <c r="K375" s="123"/>
    </row>
    <row r="376" spans="1:12" ht="18" customHeight="1" x14ac:dyDescent="0.25">
      <c r="A376" s="123"/>
      <c r="B376" s="1889" t="s">
        <v>78</v>
      </c>
      <c r="C376" s="1890"/>
      <c r="D376" s="1233" t="s">
        <v>153</v>
      </c>
      <c r="E376" s="1827" t="s">
        <v>1575</v>
      </c>
      <c r="F376" s="1828"/>
      <c r="G376" s="1827" t="s">
        <v>929</v>
      </c>
      <c r="H376" s="1828"/>
      <c r="I376" s="1230" t="s">
        <v>89</v>
      </c>
      <c r="J376" s="123"/>
      <c r="K376" s="123"/>
      <c r="L376" s="123"/>
    </row>
    <row r="377" spans="1:12" ht="26.1" customHeight="1" x14ac:dyDescent="0.25">
      <c r="A377" s="123"/>
      <c r="B377" s="1887" t="s">
        <v>62</v>
      </c>
      <c r="C377" s="1887"/>
      <c r="D377" s="1232"/>
      <c r="E377" s="1232"/>
      <c r="F377" s="936" t="str">
        <f>IF(VLOOKUP(B377,$M$201:$N$215,2,FALSE)=0,"",VLOOKUP(B377,$M$201:$N$215,2,FALSE))</f>
        <v/>
      </c>
      <c r="G377" s="1829" t="str">
        <f t="shared" ref="G377:G384" si="18">IFERROR(VLOOKUP(B377,$M$209:$O$222,3,FALSE),"")</f>
        <v/>
      </c>
      <c r="H377" s="1830"/>
      <c r="I377" s="1231" t="str">
        <f>IF(B377="Select","",IF(E377="","No",IF(OR(AND(F377="ENERGY STAR or equivalent",E377="Compliant"),E377&lt;=VLOOKUP(B377,$M$208:$P$222,4,FALSE)),"Yes","No")))</f>
        <v/>
      </c>
      <c r="J377" s="123"/>
      <c r="K377" s="123"/>
      <c r="L377" s="123"/>
    </row>
    <row r="378" spans="1:12" ht="26.1" customHeight="1" x14ac:dyDescent="0.25">
      <c r="A378" s="123"/>
      <c r="B378" s="1887" t="s">
        <v>62</v>
      </c>
      <c r="C378" s="1887"/>
      <c r="D378" s="1232"/>
      <c r="E378" s="1232"/>
      <c r="F378" s="936" t="str">
        <f t="shared" ref="F378:F384" si="19">IF(VLOOKUP(B378,$M$201:$N$215,2,FALSE)=0,"",VLOOKUP(B378,$M$201:$N$215,2,FALSE))</f>
        <v/>
      </c>
      <c r="G378" s="1824" t="str">
        <f t="shared" si="18"/>
        <v/>
      </c>
      <c r="H378" s="1825"/>
      <c r="I378" s="1231" t="str">
        <f t="shared" ref="I378:I384" si="20">IF(B378="Select","",IF(E378="","No",IF(OR(E378="Compliant",E378&lt;=VLOOKUP(B378,$M$208:$P$222,4,FALSE)),"Yes","No")))</f>
        <v/>
      </c>
      <c r="J378" s="123"/>
      <c r="K378" s="123"/>
      <c r="L378" s="123"/>
    </row>
    <row r="379" spans="1:12" ht="26.1" customHeight="1" x14ac:dyDescent="0.25">
      <c r="A379" s="123"/>
      <c r="B379" s="1887" t="s">
        <v>62</v>
      </c>
      <c r="C379" s="1887"/>
      <c r="D379" s="1232"/>
      <c r="E379" s="1232"/>
      <c r="F379" s="936" t="str">
        <f t="shared" si="19"/>
        <v/>
      </c>
      <c r="G379" s="1824" t="str">
        <f t="shared" si="18"/>
        <v/>
      </c>
      <c r="H379" s="1825"/>
      <c r="I379" s="1231" t="str">
        <f t="shared" si="20"/>
        <v/>
      </c>
      <c r="J379" s="123"/>
      <c r="K379" s="123"/>
      <c r="L379" s="123"/>
    </row>
    <row r="380" spans="1:12" ht="26.1" customHeight="1" x14ac:dyDescent="0.25">
      <c r="A380" s="123"/>
      <c r="B380" s="1887" t="s">
        <v>62</v>
      </c>
      <c r="C380" s="1887"/>
      <c r="D380" s="1232"/>
      <c r="E380" s="1232"/>
      <c r="F380" s="936" t="str">
        <f t="shared" si="19"/>
        <v/>
      </c>
      <c r="G380" s="1824" t="str">
        <f t="shared" si="18"/>
        <v/>
      </c>
      <c r="H380" s="1825"/>
      <c r="I380" s="1231" t="str">
        <f t="shared" si="20"/>
        <v/>
      </c>
      <c r="J380" s="123"/>
      <c r="K380" s="123"/>
      <c r="L380" s="123"/>
    </row>
    <row r="381" spans="1:12" ht="26.1" customHeight="1" x14ac:dyDescent="0.25">
      <c r="A381" s="123"/>
      <c r="B381" s="1887" t="s">
        <v>62</v>
      </c>
      <c r="C381" s="1887"/>
      <c r="D381" s="1232"/>
      <c r="E381" s="1232"/>
      <c r="F381" s="936" t="str">
        <f t="shared" si="19"/>
        <v/>
      </c>
      <c r="G381" s="1824" t="str">
        <f t="shared" si="18"/>
        <v/>
      </c>
      <c r="H381" s="1825"/>
      <c r="I381" s="1231" t="str">
        <f t="shared" si="20"/>
        <v/>
      </c>
      <c r="J381" s="123"/>
      <c r="K381" s="123"/>
      <c r="L381" s="123"/>
    </row>
    <row r="382" spans="1:12" ht="26.1" customHeight="1" x14ac:dyDescent="0.25">
      <c r="A382" s="123"/>
      <c r="B382" s="1887" t="s">
        <v>62</v>
      </c>
      <c r="C382" s="1887"/>
      <c r="D382" s="1232"/>
      <c r="E382" s="1232"/>
      <c r="F382" s="936" t="str">
        <f t="shared" si="19"/>
        <v/>
      </c>
      <c r="G382" s="1824" t="str">
        <f t="shared" si="18"/>
        <v/>
      </c>
      <c r="H382" s="1825"/>
      <c r="I382" s="1231" t="str">
        <f t="shared" si="20"/>
        <v/>
      </c>
      <c r="J382" s="123"/>
      <c r="K382" s="123"/>
      <c r="L382" s="123"/>
    </row>
    <row r="383" spans="1:12" ht="26.1" customHeight="1" x14ac:dyDescent="0.25">
      <c r="A383" s="123"/>
      <c r="B383" s="1887" t="s">
        <v>62</v>
      </c>
      <c r="C383" s="1887"/>
      <c r="D383" s="1232"/>
      <c r="E383" s="1232"/>
      <c r="F383" s="936" t="str">
        <f t="shared" si="19"/>
        <v/>
      </c>
      <c r="G383" s="1824" t="str">
        <f t="shared" si="18"/>
        <v/>
      </c>
      <c r="H383" s="1825"/>
      <c r="I383" s="1231" t="str">
        <f t="shared" si="20"/>
        <v/>
      </c>
      <c r="J383" s="123"/>
      <c r="K383" s="123"/>
      <c r="L383" s="123"/>
    </row>
    <row r="384" spans="1:12" ht="26.1" customHeight="1" x14ac:dyDescent="0.25">
      <c r="A384" s="123"/>
      <c r="B384" s="1887" t="s">
        <v>62</v>
      </c>
      <c r="C384" s="1887"/>
      <c r="D384" s="1232"/>
      <c r="E384" s="1232"/>
      <c r="F384" s="936" t="str">
        <f t="shared" si="19"/>
        <v/>
      </c>
      <c r="G384" s="1824" t="str">
        <f t="shared" si="18"/>
        <v/>
      </c>
      <c r="H384" s="1825"/>
      <c r="I384" s="1231" t="str">
        <f t="shared" si="20"/>
        <v/>
      </c>
      <c r="J384" s="123"/>
      <c r="K384" s="123"/>
      <c r="L384" s="123"/>
    </row>
    <row r="385" spans="1:13" x14ac:dyDescent="0.25">
      <c r="A385" s="123"/>
      <c r="B385" s="123"/>
      <c r="C385" s="123"/>
      <c r="D385" s="123"/>
      <c r="E385" s="123"/>
      <c r="F385" s="123"/>
      <c r="G385" s="123"/>
      <c r="H385" s="123"/>
      <c r="I385" s="123"/>
      <c r="J385" s="123"/>
      <c r="K385" s="123"/>
    </row>
    <row r="386" spans="1:13" ht="19.5" customHeight="1" x14ac:dyDescent="0.25">
      <c r="A386" s="123"/>
      <c r="B386" s="1869" t="s">
        <v>1699</v>
      </c>
      <c r="C386" s="1869"/>
      <c r="D386" s="1869"/>
      <c r="E386" s="64" t="str">
        <f>IF(COUNTIF(I377:I384,"No")&gt;0,"No",IF(COUNTIF(I377:I384,"Yes")&gt;0,"Yes","No"))</f>
        <v>No</v>
      </c>
      <c r="F386" s="123"/>
      <c r="G386" s="123"/>
      <c r="H386" s="123"/>
      <c r="I386" s="123"/>
      <c r="J386" s="123"/>
      <c r="K386" s="123"/>
    </row>
    <row r="387" spans="1:13" ht="19.5" customHeight="1" x14ac:dyDescent="0.25">
      <c r="A387" s="123"/>
      <c r="B387" s="123"/>
      <c r="C387" s="123"/>
      <c r="D387" s="123"/>
      <c r="E387" s="123"/>
      <c r="F387" s="123"/>
      <c r="G387" s="123"/>
      <c r="H387" s="123"/>
      <c r="I387" s="123"/>
      <c r="J387" s="123"/>
      <c r="K387" s="123"/>
    </row>
    <row r="388" spans="1:13" ht="16.5" customHeight="1" x14ac:dyDescent="0.25">
      <c r="A388" s="1851" t="s">
        <v>97</v>
      </c>
      <c r="B388" s="1851"/>
      <c r="C388" s="1851"/>
      <c r="D388" s="127"/>
      <c r="E388" s="127"/>
      <c r="F388" s="127"/>
      <c r="G388" s="127"/>
      <c r="H388" s="127"/>
      <c r="I388" s="127"/>
      <c r="J388" s="127"/>
      <c r="K388" s="127"/>
      <c r="M388" s="49"/>
    </row>
    <row r="389" spans="1:13" x14ac:dyDescent="0.25">
      <c r="A389" s="838"/>
      <c r="B389" s="123"/>
      <c r="C389" s="123"/>
      <c r="D389" s="123"/>
      <c r="E389" s="123"/>
      <c r="F389" s="123"/>
      <c r="G389" s="123"/>
      <c r="H389" s="123"/>
      <c r="I389" s="838"/>
      <c r="J389" s="838"/>
      <c r="K389" s="838"/>
      <c r="M389" s="49"/>
    </row>
    <row r="390" spans="1:13" ht="21" customHeight="1" x14ac:dyDescent="0.25">
      <c r="A390" s="838"/>
      <c r="B390" s="1871" t="s">
        <v>98</v>
      </c>
      <c r="C390" s="1872"/>
      <c r="D390" s="1872"/>
      <c r="E390" s="1872"/>
      <c r="F390" s="1872"/>
      <c r="G390" s="946" t="s">
        <v>1297</v>
      </c>
      <c r="H390" s="1878" t="s">
        <v>1298</v>
      </c>
      <c r="I390" s="1878"/>
      <c r="J390" s="838"/>
      <c r="K390" s="838"/>
    </row>
    <row r="391" spans="1:13" ht="30" customHeight="1" x14ac:dyDescent="0.25">
      <c r="A391" s="838"/>
      <c r="B391" s="1644" t="str">
        <f>Submittals!H48</f>
        <v>Select the Submission Stage in Project Information</v>
      </c>
      <c r="C391" s="1645"/>
      <c r="D391" s="1645"/>
      <c r="E391" s="1645"/>
      <c r="F391" s="1645"/>
      <c r="G391" s="939" t="s">
        <v>62</v>
      </c>
      <c r="H391" s="1625"/>
      <c r="I391" s="1662"/>
      <c r="J391" s="838"/>
      <c r="K391" s="838"/>
      <c r="L391" s="37" t="str">
        <f>IF(OR(B391="/",B391="No evidence required at this submission stage"),"Yes",IF(G391="Submitted","Yes","No"))</f>
        <v>No</v>
      </c>
    </row>
    <row r="392" spans="1:13" ht="30" customHeight="1" x14ac:dyDescent="0.25">
      <c r="A392" s="838"/>
      <c r="B392" s="1644" t="str">
        <f>Submittals!H49</f>
        <v>Select the Submission Stage in Project Information</v>
      </c>
      <c r="C392" s="1645"/>
      <c r="D392" s="1645"/>
      <c r="E392" s="1645"/>
      <c r="F392" s="1645"/>
      <c r="G392" s="939" t="s">
        <v>62</v>
      </c>
      <c r="H392" s="1625"/>
      <c r="I392" s="1662"/>
      <c r="J392" s="838"/>
      <c r="K392" s="838"/>
      <c r="L392" s="37" t="str">
        <f t="shared" ref="L392" si="21">IF(OR(B392="/",B392="No evidence required at this submission stage"),"Yes",IF(G392="Submitted","Yes","No"))</f>
        <v>No</v>
      </c>
    </row>
    <row r="393" spans="1:13" ht="18.75" customHeight="1" x14ac:dyDescent="0.25">
      <c r="A393" s="838"/>
      <c r="B393" s="123"/>
      <c r="C393" s="838"/>
      <c r="D393" s="838"/>
      <c r="E393" s="838"/>
      <c r="F393" s="838"/>
      <c r="G393" s="838"/>
      <c r="H393" s="838"/>
      <c r="I393" s="838"/>
      <c r="J393" s="838"/>
      <c r="K393" s="838"/>
    </row>
    <row r="394" spans="1:13" ht="16.5" customHeight="1" x14ac:dyDescent="0.25">
      <c r="A394" s="1851" t="s">
        <v>8</v>
      </c>
      <c r="B394" s="1851"/>
      <c r="C394" s="1851"/>
      <c r="D394" s="838"/>
      <c r="E394" s="838"/>
      <c r="F394" s="838"/>
      <c r="G394" s="838"/>
      <c r="H394" s="838"/>
      <c r="I394" s="838"/>
      <c r="J394" s="838"/>
      <c r="K394" s="838"/>
    </row>
    <row r="395" spans="1:13" x14ac:dyDescent="0.25">
      <c r="A395" s="838"/>
      <c r="B395" s="123"/>
      <c r="C395" s="123"/>
      <c r="D395" s="123"/>
      <c r="E395" s="123"/>
      <c r="F395" s="123"/>
      <c r="G395" s="123"/>
      <c r="H395" s="123"/>
      <c r="I395" s="123"/>
      <c r="J395" s="123"/>
      <c r="K395" s="123"/>
    </row>
    <row r="396" spans="1:13" ht="18" customHeight="1" x14ac:dyDescent="0.25">
      <c r="A396" s="838"/>
      <c r="B396" s="114" t="s">
        <v>19</v>
      </c>
      <c r="C396" s="8">
        <f>IF(SF$11="No",0,IF(E386="Yes",1,0))</f>
        <v>0</v>
      </c>
      <c r="D396" s="838"/>
      <c r="E396" s="838"/>
      <c r="F396" s="838"/>
      <c r="G396" s="838"/>
      <c r="H396" s="838"/>
      <c r="I396" s="838"/>
      <c r="J396" s="838"/>
      <c r="K396" s="838"/>
    </row>
    <row r="397" spans="1:13" ht="18" customHeight="1" collapsed="1" x14ac:dyDescent="0.25">
      <c r="A397" s="838"/>
      <c r="B397" s="122" t="s">
        <v>151</v>
      </c>
      <c r="C397" s="8" t="str">
        <f>IF(F11="Yes","No",IF(AND(COUNTIF(L391:L392,"Yes")=2,C396&gt;0),"Yes","No"))</f>
        <v>No</v>
      </c>
      <c r="D397" s="838"/>
      <c r="E397" s="838"/>
      <c r="F397" s="838"/>
      <c r="G397" s="838"/>
      <c r="H397" s="838"/>
      <c r="I397" s="838"/>
      <c r="J397" s="838"/>
      <c r="K397" s="838"/>
    </row>
    <row r="398" spans="1:13" ht="21" customHeight="1" x14ac:dyDescent="0.25">
      <c r="A398" s="838"/>
      <c r="B398" s="123"/>
      <c r="C398" s="123"/>
      <c r="D398" s="123"/>
      <c r="E398" s="123"/>
      <c r="F398" s="123"/>
      <c r="G398" s="123"/>
      <c r="H398" s="123"/>
      <c r="I398" s="123"/>
      <c r="J398" s="123"/>
      <c r="K398" s="123"/>
    </row>
    <row r="399" spans="1:13" hidden="1" x14ac:dyDescent="0.25"/>
    <row r="400" spans="1:13"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sheetData>
  <sheetProtection algorithmName="SHA-512" hashValue="Tncfg8lpN3Cslkauj1CyRyREB25EK2SPWFlFm/oRMDJ7IcppqW5hAt0iJz7K97fG1LNlPgj/czN4/kSLZtITNQ==" saltValue="i7yyqhGiyOJ5WF52oDtQNA==" spinCount="100000" sheet="1" objects="1" scenarios="1"/>
  <mergeCells count="373">
    <mergeCell ref="G378:H378"/>
    <mergeCell ref="G379:H379"/>
    <mergeCell ref="A341:C341"/>
    <mergeCell ref="A334:C334"/>
    <mergeCell ref="A388:C388"/>
    <mergeCell ref="A394:C394"/>
    <mergeCell ref="A1:K1"/>
    <mergeCell ref="B386:D386"/>
    <mergeCell ref="B390:F390"/>
    <mergeCell ref="H390:I390"/>
    <mergeCell ref="B391:F391"/>
    <mergeCell ref="H391:I391"/>
    <mergeCell ref="B392:F392"/>
    <mergeCell ref="H392:I392"/>
    <mergeCell ref="B380:C380"/>
    <mergeCell ref="B381:C381"/>
    <mergeCell ref="B382:C382"/>
    <mergeCell ref="B383:C383"/>
    <mergeCell ref="B384:C384"/>
    <mergeCell ref="B376:C376"/>
    <mergeCell ref="B377:C377"/>
    <mergeCell ref="B378:C378"/>
    <mergeCell ref="B379:C379"/>
    <mergeCell ref="D366:E366"/>
    <mergeCell ref="D368:E368"/>
    <mergeCell ref="B369:B370"/>
    <mergeCell ref="D369:E369"/>
    <mergeCell ref="D370:E370"/>
    <mergeCell ref="B371:B372"/>
    <mergeCell ref="D371:E371"/>
    <mergeCell ref="D372:E372"/>
    <mergeCell ref="A346:K346"/>
    <mergeCell ref="A348:C348"/>
    <mergeCell ref="B354:E354"/>
    <mergeCell ref="B355:C355"/>
    <mergeCell ref="D355:E355"/>
    <mergeCell ref="B356:E356"/>
    <mergeCell ref="B357:C357"/>
    <mergeCell ref="D357:E357"/>
    <mergeCell ref="B358:C358"/>
    <mergeCell ref="D358:E358"/>
    <mergeCell ref="B360:C360"/>
    <mergeCell ref="D360:E360"/>
    <mergeCell ref="B364:B368"/>
    <mergeCell ref="D364:E364"/>
    <mergeCell ref="D365:E365"/>
    <mergeCell ref="B359:E359"/>
    <mergeCell ref="D289:E289"/>
    <mergeCell ref="B290:C290"/>
    <mergeCell ref="D290:E290"/>
    <mergeCell ref="B291:C291"/>
    <mergeCell ref="D291:E291"/>
    <mergeCell ref="B293:C293"/>
    <mergeCell ref="D293:E293"/>
    <mergeCell ref="B296:C296"/>
    <mergeCell ref="D367:E367"/>
    <mergeCell ref="B338:F338"/>
    <mergeCell ref="A311:K311"/>
    <mergeCell ref="B315:J315"/>
    <mergeCell ref="B323:E323"/>
    <mergeCell ref="B304:F304"/>
    <mergeCell ref="H304:I304"/>
    <mergeCell ref="A306:C306"/>
    <mergeCell ref="H338:I338"/>
    <mergeCell ref="C325:D325"/>
    <mergeCell ref="E325:F325"/>
    <mergeCell ref="B332:D332"/>
    <mergeCell ref="B336:F336"/>
    <mergeCell ref="H336:I336"/>
    <mergeCell ref="B337:F337"/>
    <mergeCell ref="H337:I337"/>
    <mergeCell ref="G325:H325"/>
    <mergeCell ref="G326:H326"/>
    <mergeCell ref="G327:H327"/>
    <mergeCell ref="G328:H328"/>
    <mergeCell ref="G329:H329"/>
    <mergeCell ref="G330:H330"/>
    <mergeCell ref="M273:M274"/>
    <mergeCell ref="N273:N274"/>
    <mergeCell ref="B269:B270"/>
    <mergeCell ref="C269:C270"/>
    <mergeCell ref="F269:F270"/>
    <mergeCell ref="G269:G270"/>
    <mergeCell ref="H269:H270"/>
    <mergeCell ref="M269:M270"/>
    <mergeCell ref="N269:N270"/>
    <mergeCell ref="B271:B272"/>
    <mergeCell ref="C271:C272"/>
    <mergeCell ref="F271:F272"/>
    <mergeCell ref="G271:G272"/>
    <mergeCell ref="H271:H272"/>
    <mergeCell ref="M271:M272"/>
    <mergeCell ref="N271:N272"/>
    <mergeCell ref="B273:B274"/>
    <mergeCell ref="C273:C274"/>
    <mergeCell ref="F273:F274"/>
    <mergeCell ref="G223:H223"/>
    <mergeCell ref="G224:H224"/>
    <mergeCell ref="G225:H225"/>
    <mergeCell ref="M265:N266"/>
    <mergeCell ref="B267:C267"/>
    <mergeCell ref="D267:E268"/>
    <mergeCell ref="F267:F268"/>
    <mergeCell ref="G267:G268"/>
    <mergeCell ref="H267:H268"/>
    <mergeCell ref="M267:M268"/>
    <mergeCell ref="N267:N268"/>
    <mergeCell ref="B230:C230"/>
    <mergeCell ref="B227:C227"/>
    <mergeCell ref="B228:C228"/>
    <mergeCell ref="B226:C226"/>
    <mergeCell ref="A257:C257"/>
    <mergeCell ref="A250:K250"/>
    <mergeCell ref="A252:C252"/>
    <mergeCell ref="D215:E215"/>
    <mergeCell ref="D216:E216"/>
    <mergeCell ref="D217:E217"/>
    <mergeCell ref="D218:E218"/>
    <mergeCell ref="D219:E219"/>
    <mergeCell ref="B211:B215"/>
    <mergeCell ref="A195:C195"/>
    <mergeCell ref="D212:E212"/>
    <mergeCell ref="E223:F223"/>
    <mergeCell ref="B277:C277"/>
    <mergeCell ref="D277:E277"/>
    <mergeCell ref="B280:C280"/>
    <mergeCell ref="D280:E280"/>
    <mergeCell ref="B283:C283"/>
    <mergeCell ref="G273:G274"/>
    <mergeCell ref="H273:H274"/>
    <mergeCell ref="A301:C301"/>
    <mergeCell ref="B303:F303"/>
    <mergeCell ref="H303:I303"/>
    <mergeCell ref="B285:C285"/>
    <mergeCell ref="D285:E285"/>
    <mergeCell ref="B286:C286"/>
    <mergeCell ref="D286:E286"/>
    <mergeCell ref="D283:E283"/>
    <mergeCell ref="B284:C284"/>
    <mergeCell ref="D284:E284"/>
    <mergeCell ref="B297:C297"/>
    <mergeCell ref="B299:D299"/>
    <mergeCell ref="B278:C278"/>
    <mergeCell ref="D278:E278"/>
    <mergeCell ref="B279:C279"/>
    <mergeCell ref="D279:E279"/>
    <mergeCell ref="B289:C289"/>
    <mergeCell ref="H81:I81"/>
    <mergeCell ref="H82:I82"/>
    <mergeCell ref="B83:F83"/>
    <mergeCell ref="H83:I83"/>
    <mergeCell ref="B237:F237"/>
    <mergeCell ref="H237:I237"/>
    <mergeCell ref="B238:F238"/>
    <mergeCell ref="H238:I238"/>
    <mergeCell ref="B239:F239"/>
    <mergeCell ref="H239:I239"/>
    <mergeCell ref="A146:C146"/>
    <mergeCell ref="A153:C153"/>
    <mergeCell ref="B183:F183"/>
    <mergeCell ref="B184:F184"/>
    <mergeCell ref="H183:I183"/>
    <mergeCell ref="H184:I184"/>
    <mergeCell ref="B231:C231"/>
    <mergeCell ref="B229:C229"/>
    <mergeCell ref="B233:D233"/>
    <mergeCell ref="B201:E201"/>
    <mergeCell ref="B223:C223"/>
    <mergeCell ref="B224:C224"/>
    <mergeCell ref="B225:C225"/>
    <mergeCell ref="A193:K193"/>
    <mergeCell ref="B185:F185"/>
    <mergeCell ref="H185:I185"/>
    <mergeCell ref="B149:F149"/>
    <mergeCell ref="H149:I149"/>
    <mergeCell ref="B150:F150"/>
    <mergeCell ref="H150:I150"/>
    <mergeCell ref="B151:F151"/>
    <mergeCell ref="H151:I151"/>
    <mergeCell ref="B138:C138"/>
    <mergeCell ref="D138:E138"/>
    <mergeCell ref="G172:H172"/>
    <mergeCell ref="G173:H173"/>
    <mergeCell ref="G174:H174"/>
    <mergeCell ref="G175:H175"/>
    <mergeCell ref="G176:H176"/>
    <mergeCell ref="G177:H177"/>
    <mergeCell ref="B148:G148"/>
    <mergeCell ref="A158:K158"/>
    <mergeCell ref="B170:E170"/>
    <mergeCell ref="B179:D179"/>
    <mergeCell ref="C172:D172"/>
    <mergeCell ref="E172:F172"/>
    <mergeCell ref="D123:E123"/>
    <mergeCell ref="B124:C124"/>
    <mergeCell ref="D124:E124"/>
    <mergeCell ref="B125:C125"/>
    <mergeCell ref="D125:E125"/>
    <mergeCell ref="H116:H117"/>
    <mergeCell ref="B118:B119"/>
    <mergeCell ref="C118:C119"/>
    <mergeCell ref="F118:F119"/>
    <mergeCell ref="G118:G119"/>
    <mergeCell ref="H118:H119"/>
    <mergeCell ref="C116:C117"/>
    <mergeCell ref="F116:F117"/>
    <mergeCell ref="G116:G117"/>
    <mergeCell ref="B122:C122"/>
    <mergeCell ref="D122:E122"/>
    <mergeCell ref="B123:C123"/>
    <mergeCell ref="B77:D77"/>
    <mergeCell ref="D70:E70"/>
    <mergeCell ref="B60:C60"/>
    <mergeCell ref="D60:E60"/>
    <mergeCell ref="B63:C63"/>
    <mergeCell ref="D63:E63"/>
    <mergeCell ref="B64:C64"/>
    <mergeCell ref="D64:E64"/>
    <mergeCell ref="B67:C67"/>
    <mergeCell ref="D67:E67"/>
    <mergeCell ref="B70:C70"/>
    <mergeCell ref="B66:C66"/>
    <mergeCell ref="D66:E66"/>
    <mergeCell ref="B81:F81"/>
    <mergeCell ref="B82:F82"/>
    <mergeCell ref="A79:C79"/>
    <mergeCell ref="A86:C86"/>
    <mergeCell ref="B216:B217"/>
    <mergeCell ref="B218:B219"/>
    <mergeCell ref="D202:E202"/>
    <mergeCell ref="B203:E203"/>
    <mergeCell ref="B206:E206"/>
    <mergeCell ref="D204:E204"/>
    <mergeCell ref="D205:E205"/>
    <mergeCell ref="D207:E207"/>
    <mergeCell ref="D208:E208"/>
    <mergeCell ref="D209:E209"/>
    <mergeCell ref="B210:E210"/>
    <mergeCell ref="D211:E211"/>
    <mergeCell ref="D213:E213"/>
    <mergeCell ref="D214:E214"/>
    <mergeCell ref="B112:C112"/>
    <mergeCell ref="D112:E113"/>
    <mergeCell ref="F112:F113"/>
    <mergeCell ref="A95:K95"/>
    <mergeCell ref="A97:C97"/>
    <mergeCell ref="A102:C102"/>
    <mergeCell ref="B128:C128"/>
    <mergeCell ref="D128:E128"/>
    <mergeCell ref="B129:C129"/>
    <mergeCell ref="D129:E129"/>
    <mergeCell ref="B130:C130"/>
    <mergeCell ref="D130:E130"/>
    <mergeCell ref="B144:D144"/>
    <mergeCell ref="B141:C141"/>
    <mergeCell ref="B142:C142"/>
    <mergeCell ref="B136:C136"/>
    <mergeCell ref="D136:E136"/>
    <mergeCell ref="B131:C131"/>
    <mergeCell ref="D131:E131"/>
    <mergeCell ref="B134:C134"/>
    <mergeCell ref="D134:E134"/>
    <mergeCell ref="B135:C135"/>
    <mergeCell ref="D135:E135"/>
    <mergeCell ref="H2:J4"/>
    <mergeCell ref="B162:J162"/>
    <mergeCell ref="B202:C202"/>
    <mergeCell ref="B71:C71"/>
    <mergeCell ref="D71:E71"/>
    <mergeCell ref="B73:C73"/>
    <mergeCell ref="D73:E73"/>
    <mergeCell ref="B74:C74"/>
    <mergeCell ref="D74:E74"/>
    <mergeCell ref="B48:B49"/>
    <mergeCell ref="C48:C49"/>
    <mergeCell ref="B57:C57"/>
    <mergeCell ref="D57:E57"/>
    <mergeCell ref="B59:C59"/>
    <mergeCell ref="D59:E59"/>
    <mergeCell ref="B56:C56"/>
    <mergeCell ref="D56:E56"/>
    <mergeCell ref="B52:B53"/>
    <mergeCell ref="C52:C53"/>
    <mergeCell ref="A9:K9"/>
    <mergeCell ref="A5:K7"/>
    <mergeCell ref="G112:G113"/>
    <mergeCell ref="B116:B117"/>
    <mergeCell ref="G48:G49"/>
    <mergeCell ref="B16:F16"/>
    <mergeCell ref="A30:C30"/>
    <mergeCell ref="B18:F18"/>
    <mergeCell ref="B46:B47"/>
    <mergeCell ref="C46:C47"/>
    <mergeCell ref="G46:G47"/>
    <mergeCell ref="B44:C44"/>
    <mergeCell ref="B13:F13"/>
    <mergeCell ref="B14:F14"/>
    <mergeCell ref="D44:E45"/>
    <mergeCell ref="F44:F45"/>
    <mergeCell ref="B19:F19"/>
    <mergeCell ref="A28:K28"/>
    <mergeCell ref="B23:F23"/>
    <mergeCell ref="B36:F36"/>
    <mergeCell ref="B37:F37"/>
    <mergeCell ref="B38:F38"/>
    <mergeCell ref="B39:F39"/>
    <mergeCell ref="B40:F40"/>
    <mergeCell ref="B11:E11"/>
    <mergeCell ref="B20:F20"/>
    <mergeCell ref="B22:F22"/>
    <mergeCell ref="B24:F24"/>
    <mergeCell ref="B25:F25"/>
    <mergeCell ref="B26:F26"/>
    <mergeCell ref="B17:F17"/>
    <mergeCell ref="G44:G45"/>
    <mergeCell ref="A246:K246"/>
    <mergeCell ref="B65:C65"/>
    <mergeCell ref="D65:E65"/>
    <mergeCell ref="B72:C72"/>
    <mergeCell ref="D72:E72"/>
    <mergeCell ref="B58:C58"/>
    <mergeCell ref="D58:E58"/>
    <mergeCell ref="B50:B51"/>
    <mergeCell ref="C50:C51"/>
    <mergeCell ref="G50:G51"/>
    <mergeCell ref="G52:G53"/>
    <mergeCell ref="B204:C204"/>
    <mergeCell ref="B205:C205"/>
    <mergeCell ref="B207:C207"/>
    <mergeCell ref="B208:C208"/>
    <mergeCell ref="B209:C209"/>
    <mergeCell ref="M116:M117"/>
    <mergeCell ref="N116:N117"/>
    <mergeCell ref="M118:M119"/>
    <mergeCell ref="N118:N119"/>
    <mergeCell ref="B84:F84"/>
    <mergeCell ref="H84:I84"/>
    <mergeCell ref="M114:M115"/>
    <mergeCell ref="N114:N115"/>
    <mergeCell ref="M112:M113"/>
    <mergeCell ref="N112:N113"/>
    <mergeCell ref="M110:N111"/>
    <mergeCell ref="A91:K91"/>
    <mergeCell ref="H112:H113"/>
    <mergeCell ref="B114:B115"/>
    <mergeCell ref="C114:C115"/>
    <mergeCell ref="F114:F115"/>
    <mergeCell ref="G114:G115"/>
    <mergeCell ref="H114:H115"/>
    <mergeCell ref="B339:F339"/>
    <mergeCell ref="H339:I339"/>
    <mergeCell ref="B186:F186"/>
    <mergeCell ref="H186:I186"/>
    <mergeCell ref="G380:H380"/>
    <mergeCell ref="G381:H381"/>
    <mergeCell ref="G382:H382"/>
    <mergeCell ref="G383:H383"/>
    <mergeCell ref="G384:H384"/>
    <mergeCell ref="B254:J255"/>
    <mergeCell ref="G226:H226"/>
    <mergeCell ref="G227:H227"/>
    <mergeCell ref="G228:H228"/>
    <mergeCell ref="G229:H229"/>
    <mergeCell ref="G230:H230"/>
    <mergeCell ref="G231:H231"/>
    <mergeCell ref="E376:F376"/>
    <mergeCell ref="G376:H376"/>
    <mergeCell ref="G377:H377"/>
    <mergeCell ref="B361:C361"/>
    <mergeCell ref="D361:E361"/>
    <mergeCell ref="B362:C362"/>
    <mergeCell ref="D362:E362"/>
    <mergeCell ref="B363:E363"/>
  </mergeCells>
  <conditionalFormatting sqref="G150:G151">
    <cfRule type="expression" dxfId="538" priority="81">
      <formula>$B150="/"</formula>
    </cfRule>
    <cfRule type="expression" dxfId="537" priority="82">
      <formula>$B150="No evidence required at this submission stage"</formula>
    </cfRule>
  </conditionalFormatting>
  <conditionalFormatting sqref="H150">
    <cfRule type="expression" dxfId="536" priority="79">
      <formula>$B150="/"</formula>
    </cfRule>
    <cfRule type="expression" dxfId="535" priority="80">
      <formula>$B150="No evidence required at this submission stage"</formula>
    </cfRule>
  </conditionalFormatting>
  <conditionalFormatting sqref="G184">
    <cfRule type="expression" dxfId="534" priority="75">
      <formula>$B184="/"</formula>
    </cfRule>
    <cfRule type="expression" dxfId="533" priority="76">
      <formula>$B184="No evidence required at this submission stage"</formula>
    </cfRule>
  </conditionalFormatting>
  <conditionalFormatting sqref="G82:G84">
    <cfRule type="expression" dxfId="532" priority="69">
      <formula>$B82="/"</formula>
    </cfRule>
    <cfRule type="expression" dxfId="531" priority="70">
      <formula>$B82="No evidence required at this submission stage"</formula>
    </cfRule>
  </conditionalFormatting>
  <conditionalFormatting sqref="H184">
    <cfRule type="expression" dxfId="530" priority="73">
      <formula>$B184="/"</formula>
    </cfRule>
    <cfRule type="expression" dxfId="529" priority="74">
      <formula>$B184="No evidence required at this submission stage"</formula>
    </cfRule>
  </conditionalFormatting>
  <conditionalFormatting sqref="H151">
    <cfRule type="expression" dxfId="528" priority="77">
      <formula>$B151="/"</formula>
    </cfRule>
    <cfRule type="expression" dxfId="527" priority="78">
      <formula>$B151="No evidence required at this submission stage"</formula>
    </cfRule>
  </conditionalFormatting>
  <conditionalFormatting sqref="H82">
    <cfRule type="expression" dxfId="526" priority="67">
      <formula>$B82="/"</formula>
    </cfRule>
    <cfRule type="expression" dxfId="525" priority="68">
      <formula>$B82="No evidence required at this submission stage"</formula>
    </cfRule>
  </conditionalFormatting>
  <conditionalFormatting sqref="H83:H84">
    <cfRule type="expression" dxfId="524" priority="65">
      <formula>$B83="/"</formula>
    </cfRule>
    <cfRule type="expression" dxfId="523" priority="66">
      <formula>$B83="No evidence required at this submission stage"</formula>
    </cfRule>
  </conditionalFormatting>
  <conditionalFormatting sqref="G238:G239">
    <cfRule type="expression" dxfId="522" priority="63">
      <formula>$B238="/"</formula>
    </cfRule>
    <cfRule type="expression" dxfId="521" priority="64">
      <formula>$B238="No evidence required at this submission stage"</formula>
    </cfRule>
  </conditionalFormatting>
  <conditionalFormatting sqref="H238">
    <cfRule type="expression" dxfId="520" priority="61">
      <formula>$B238="/"</formula>
    </cfRule>
    <cfRule type="expression" dxfId="519" priority="62">
      <formula>$B238="No evidence required at this submission stage"</formula>
    </cfRule>
  </conditionalFormatting>
  <conditionalFormatting sqref="H239">
    <cfRule type="expression" dxfId="518" priority="59">
      <formula>$B239="/"</formula>
    </cfRule>
    <cfRule type="expression" dxfId="517" priority="60">
      <formula>$B239="No evidence required at this submission stage"</formula>
    </cfRule>
  </conditionalFormatting>
  <conditionalFormatting sqref="G337:G338">
    <cfRule type="expression" dxfId="516" priority="39">
      <formula>$B337="/"</formula>
    </cfRule>
    <cfRule type="expression" dxfId="515" priority="40">
      <formula>$B337="No evidence required at this submission stage"</formula>
    </cfRule>
  </conditionalFormatting>
  <conditionalFormatting sqref="H337">
    <cfRule type="expression" dxfId="514" priority="37">
      <formula>$B337="/"</formula>
    </cfRule>
    <cfRule type="expression" dxfId="513" priority="38">
      <formula>$B337="No evidence required at this submission stage"</formula>
    </cfRule>
  </conditionalFormatting>
  <conditionalFormatting sqref="H338">
    <cfRule type="expression" dxfId="512" priority="35">
      <formula>$B338="/"</formula>
    </cfRule>
    <cfRule type="expression" dxfId="511" priority="36">
      <formula>$B338="No evidence required at this submission stage"</formula>
    </cfRule>
  </conditionalFormatting>
  <conditionalFormatting sqref="G391:G392">
    <cfRule type="expression" dxfId="510" priority="33">
      <formula>$B391="/"</formula>
    </cfRule>
    <cfRule type="expression" dxfId="509" priority="34">
      <formula>$B391="No evidence required at this submission stage"</formula>
    </cfRule>
  </conditionalFormatting>
  <conditionalFormatting sqref="H391">
    <cfRule type="expression" dxfId="508" priority="31">
      <formula>$B391="/"</formula>
    </cfRule>
    <cfRule type="expression" dxfId="507" priority="32">
      <formula>$B391="No evidence required at this submission stage"</formula>
    </cfRule>
  </conditionalFormatting>
  <conditionalFormatting sqref="H392">
    <cfRule type="expression" dxfId="506" priority="29">
      <formula>$B392="/"</formula>
    </cfRule>
    <cfRule type="expression" dxfId="505" priority="30">
      <formula>$B392="No evidence required at this submission stage"</formula>
    </cfRule>
  </conditionalFormatting>
  <conditionalFormatting sqref="H304:I304">
    <cfRule type="expression" dxfId="504" priority="23">
      <formula>$B304="No evidence required at this submission stage"</formula>
    </cfRule>
    <cfRule type="expression" dxfId="503" priority="24">
      <formula>$B304="/"</formula>
    </cfRule>
  </conditionalFormatting>
  <conditionalFormatting sqref="G304">
    <cfRule type="expression" dxfId="502" priority="21">
      <formula>$B304="/"</formula>
    </cfRule>
    <cfRule type="expression" dxfId="501" priority="22">
      <formula>$B304="No evidence required at this submission stage"</formula>
    </cfRule>
  </conditionalFormatting>
  <conditionalFormatting sqref="H339:I339">
    <cfRule type="expression" dxfId="500" priority="15">
      <formula>$B339="No evidence required at this submission stage"</formula>
    </cfRule>
    <cfRule type="expression" dxfId="499" priority="16">
      <formula>$B339="/"</formula>
    </cfRule>
  </conditionalFormatting>
  <conditionalFormatting sqref="G339">
    <cfRule type="expression" dxfId="498" priority="13">
      <formula>$B339="/"</formula>
    </cfRule>
    <cfRule type="expression" dxfId="497" priority="14">
      <formula>$B339="No evidence required at this submission stage"</formula>
    </cfRule>
  </conditionalFormatting>
  <conditionalFormatting sqref="G186">
    <cfRule type="expression" dxfId="496" priority="5">
      <formula>$B186="/"</formula>
    </cfRule>
    <cfRule type="expression" dxfId="495" priority="6">
      <formula>$B186="No evidence required at this submission stage"</formula>
    </cfRule>
  </conditionalFormatting>
  <conditionalFormatting sqref="H186:I186">
    <cfRule type="expression" dxfId="494" priority="7">
      <formula>$B186="No evidence required at this submission stage"</formula>
    </cfRule>
    <cfRule type="expression" dxfId="493" priority="8">
      <formula>$B186="/"</formula>
    </cfRule>
  </conditionalFormatting>
  <conditionalFormatting sqref="G185">
    <cfRule type="expression" dxfId="492" priority="3">
      <formula>$B185="/"</formula>
    </cfRule>
    <cfRule type="expression" dxfId="491" priority="4">
      <formula>$B185="No evidence required at this submission stage"</formula>
    </cfRule>
  </conditionalFormatting>
  <conditionalFormatting sqref="H185">
    <cfRule type="expression" dxfId="490" priority="1">
      <formula>$B185="/"</formula>
    </cfRule>
    <cfRule type="expression" dxfId="489" priority="2">
      <formula>$B185="No evidence required at this submission stage"</formula>
    </cfRule>
  </conditionalFormatting>
  <dataValidations count="11">
    <dataValidation type="list" allowBlank="1" showInputMessage="1" showErrorMessage="1" sqref="C114:C119 C269:C274">
      <formula1>"Single Flush, Dual Flush"</formula1>
    </dataValidation>
    <dataValidation type="list" allowBlank="1" showInputMessage="1" showErrorMessage="1" sqref="F11 F170 F323">
      <formula1>"Select,Yes,No"</formula1>
    </dataValidation>
    <dataValidation type="list" allowBlank="1" showInputMessage="1" showErrorMessage="1" sqref="C46:C53">
      <formula1>"Select,Single Flush, Dual Flush"</formula1>
    </dataValidation>
    <dataValidation type="list" allowBlank="1" showInputMessage="1" showErrorMessage="1" sqref="G337:G338 G150:G151 G238:G239 G82:G84 G391:G392 G184:G185">
      <formula1>"Select,Submitted,Not submitted"</formula1>
    </dataValidation>
    <dataValidation type="list" allowBlank="1" showInputMessage="1" showErrorMessage="1" sqref="B224:C231 B377:C384">
      <formula1>Process_type</formula1>
    </dataValidation>
    <dataValidation type="list" allowBlank="1" showInputMessage="1" showErrorMessage="1" sqref="B173:B177 B326:B330">
      <formula1>"Select,Water-closet,Urinal,Bathroom tap,Shower head,Other"</formula1>
    </dataValidation>
    <dataValidation allowBlank="1" showInputMessage="1" showErrorMessage="1" prompt="Describe how the base building fixture was replaced or altered and describe the new fixtures/appliances installed." sqref="G173:H177 G326:H330"/>
    <dataValidation allowBlank="1" showInputMessage="1" showErrorMessage="1" prompt="Enter the water use value in the unit shown on the right or enter &quot;Energy Star or equivalent&quot; to justify compliance." sqref="E225:E231 E378:E384"/>
    <dataValidation allowBlank="1" showErrorMessage="1" prompt="_x000a_" sqref="D224:D231 D377:D384"/>
    <dataValidation allowBlank="1" showInputMessage="1" showErrorMessage="1" prompt="Enter the water use value in the unit shown on the right or enter &quot;Compliant&quot; to justify compliance." sqref="E224 E377"/>
    <dataValidation type="list" allowBlank="1" showInputMessage="1" showErrorMessage="1" sqref="G304 G339 G186">
      <formula1>Sub_FC</formula1>
    </dataValidation>
  </dataValidations>
  <hyperlinks>
    <hyperlink ref="K3" location="'W-2 Drinking Water '!D3" tooltip="W-2" display="W-2"/>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563C1"/>
  </sheetPr>
  <dimension ref="A1:M205"/>
  <sheetViews>
    <sheetView showRowColHeaders="0" workbookViewId="0">
      <pane ySplit="8" topLeftCell="A9" activePane="bottomLeft" state="frozen"/>
      <selection pane="bottomLeft" activeCell="A9" sqref="A9:K9"/>
    </sheetView>
  </sheetViews>
  <sheetFormatPr defaultColWidth="0" defaultRowHeight="15" customHeight="1" zeroHeight="1" x14ac:dyDescent="0.25"/>
  <cols>
    <col min="1" max="1" width="5" style="37" customWidth="1"/>
    <col min="2" max="3" width="18.7109375" style="37" customWidth="1"/>
    <col min="4" max="4" width="12.28515625" style="37" customWidth="1"/>
    <col min="5" max="5" width="17.5703125" style="37" customWidth="1"/>
    <col min="6" max="6" width="19" style="37" customWidth="1"/>
    <col min="7" max="7" width="20.28515625" style="37" customWidth="1"/>
    <col min="8" max="8" width="22.7109375" style="37" customWidth="1"/>
    <col min="9" max="9" width="15.85546875" style="37" customWidth="1"/>
    <col min="10" max="10" width="13.28515625" style="37" customWidth="1"/>
    <col min="11" max="11" width="9.7109375" style="37" customWidth="1"/>
    <col min="12" max="16384" width="9.140625" style="37" hidden="1"/>
  </cols>
  <sheetData>
    <row r="1" spans="1:13" ht="23.25" x14ac:dyDescent="0.25">
      <c r="A1" s="1893" t="s">
        <v>350</v>
      </c>
      <c r="B1" s="1893"/>
      <c r="C1" s="1893"/>
      <c r="D1" s="1893"/>
      <c r="E1" s="1893"/>
      <c r="F1" s="1893"/>
      <c r="G1" s="1893"/>
      <c r="H1" s="1893"/>
      <c r="I1" s="1893"/>
      <c r="J1" s="1893"/>
      <c r="K1" s="1893"/>
      <c r="L1" s="98"/>
    </row>
    <row r="2" spans="1:13" ht="15" customHeight="1" x14ac:dyDescent="0.25">
      <c r="A2" s="49"/>
      <c r="B2" s="49"/>
      <c r="C2" s="49"/>
      <c r="D2" s="49"/>
      <c r="E2" s="49"/>
      <c r="F2" s="49"/>
      <c r="G2" s="48"/>
      <c r="H2" s="48"/>
      <c r="I2" s="1898" t="s">
        <v>1776</v>
      </c>
      <c r="J2" s="1898"/>
      <c r="K2" s="48"/>
      <c r="L2" s="131"/>
      <c r="M2" s="48"/>
    </row>
    <row r="3" spans="1:13" ht="15" customHeight="1" x14ac:dyDescent="0.25">
      <c r="A3" s="49"/>
      <c r="B3" s="49"/>
      <c r="C3" s="49"/>
      <c r="D3" s="49"/>
      <c r="E3" s="49"/>
      <c r="F3" s="49"/>
      <c r="G3" s="48"/>
      <c r="H3" s="48"/>
      <c r="I3" s="1898"/>
      <c r="J3" s="1898"/>
      <c r="K3" s="133" t="s">
        <v>33</v>
      </c>
      <c r="L3" s="131"/>
      <c r="M3" s="48"/>
    </row>
    <row r="4" spans="1:13" ht="15" customHeight="1" x14ac:dyDescent="0.25">
      <c r="A4" s="49"/>
      <c r="B4" s="49"/>
      <c r="C4" s="49"/>
      <c r="D4" s="49"/>
      <c r="E4" s="49"/>
      <c r="F4" s="49"/>
      <c r="G4" s="48"/>
      <c r="H4" s="48"/>
      <c r="I4" s="1899"/>
      <c r="J4" s="1899"/>
      <c r="K4" s="133"/>
      <c r="L4" s="131"/>
      <c r="M4" s="48"/>
    </row>
    <row r="5" spans="1:13" ht="18" customHeight="1" x14ac:dyDescent="0.25">
      <c r="A5" s="1704" t="s">
        <v>2568</v>
      </c>
      <c r="B5" s="1705"/>
      <c r="C5" s="1705"/>
      <c r="D5" s="1705"/>
      <c r="E5" s="1705"/>
      <c r="F5" s="1705"/>
      <c r="G5" s="1705"/>
      <c r="H5" s="1705"/>
      <c r="I5" s="1705"/>
      <c r="J5" s="1705"/>
      <c r="K5" s="1705"/>
      <c r="L5" s="111"/>
    </row>
    <row r="6" spans="1:13" ht="18" customHeight="1" x14ac:dyDescent="0.25">
      <c r="A6" s="1707"/>
      <c r="B6" s="1708"/>
      <c r="C6" s="1708"/>
      <c r="D6" s="1708"/>
      <c r="E6" s="1708"/>
      <c r="F6" s="1708"/>
      <c r="G6" s="1708"/>
      <c r="H6" s="1708"/>
      <c r="I6" s="1708"/>
      <c r="J6" s="1708"/>
      <c r="K6" s="1708"/>
      <c r="L6" s="112"/>
    </row>
    <row r="7" spans="1:13" ht="18" customHeight="1" x14ac:dyDescent="0.25">
      <c r="A7" s="1710"/>
      <c r="B7" s="1711"/>
      <c r="C7" s="1711"/>
      <c r="D7" s="1711"/>
      <c r="E7" s="1711"/>
      <c r="F7" s="1711"/>
      <c r="G7" s="1711"/>
      <c r="H7" s="1711"/>
      <c r="I7" s="1711"/>
      <c r="J7" s="1711"/>
      <c r="K7" s="1711"/>
      <c r="L7" s="113"/>
    </row>
    <row r="8" spans="1:13" ht="10.5" customHeight="1" x14ac:dyDescent="0.25">
      <c r="A8" s="48"/>
      <c r="B8" s="49"/>
      <c r="C8" s="49"/>
      <c r="D8" s="49"/>
      <c r="E8" s="49"/>
      <c r="F8" s="48"/>
      <c r="G8" s="48"/>
      <c r="H8" s="48"/>
      <c r="I8" s="48"/>
      <c r="J8" s="48"/>
      <c r="K8" s="48"/>
      <c r="L8" s="48"/>
    </row>
    <row r="9" spans="1:13" ht="18" customHeight="1" x14ac:dyDescent="0.25">
      <c r="A9" s="1841" t="s">
        <v>134</v>
      </c>
      <c r="B9" s="1841"/>
      <c r="C9" s="1841"/>
      <c r="D9" s="1841"/>
      <c r="E9" s="1841"/>
      <c r="F9" s="1841"/>
      <c r="G9" s="1841"/>
      <c r="H9" s="1841"/>
      <c r="I9" s="1841"/>
      <c r="J9" s="1841"/>
      <c r="K9" s="1841"/>
      <c r="L9" s="34"/>
    </row>
    <row r="10" spans="1:13" ht="16.5" customHeight="1" x14ac:dyDescent="0.25">
      <c r="A10" s="48"/>
      <c r="B10" s="48"/>
      <c r="C10" s="48"/>
      <c r="D10" s="48"/>
      <c r="E10" s="48"/>
      <c r="F10" s="48"/>
      <c r="G10" s="48"/>
      <c r="H10" s="48"/>
      <c r="I10" s="48"/>
      <c r="J10" s="48"/>
      <c r="K10" s="48"/>
      <c r="L10" s="48"/>
    </row>
    <row r="11" spans="1:13" ht="18" customHeight="1" x14ac:dyDescent="0.25">
      <c r="A11" s="48"/>
      <c r="B11" s="1847" t="s">
        <v>96</v>
      </c>
      <c r="C11" s="1848"/>
      <c r="D11" s="1848"/>
      <c r="E11" s="1848"/>
      <c r="F11" s="454" t="s">
        <v>75</v>
      </c>
      <c r="G11" s="454" t="s">
        <v>19</v>
      </c>
      <c r="H11" s="60" t="s">
        <v>151</v>
      </c>
      <c r="I11" s="48"/>
      <c r="J11" s="48"/>
      <c r="K11" s="48"/>
      <c r="L11" s="48"/>
    </row>
    <row r="12" spans="1:13" ht="19.5" customHeight="1" x14ac:dyDescent="0.25">
      <c r="A12" s="48"/>
      <c r="B12" s="1780" t="s">
        <v>759</v>
      </c>
      <c r="C12" s="1781"/>
      <c r="D12" s="1781"/>
      <c r="E12" s="1781"/>
      <c r="F12" s="65">
        <v>1</v>
      </c>
      <c r="G12" s="53">
        <f>C45</f>
        <v>0</v>
      </c>
      <c r="H12" s="53" t="str">
        <f>C46</f>
        <v>No</v>
      </c>
      <c r="I12" s="48"/>
      <c r="J12" s="48"/>
      <c r="K12" s="48"/>
      <c r="L12" s="48"/>
    </row>
    <row r="13" spans="1:13" ht="19.5" customHeight="1" x14ac:dyDescent="0.25">
      <c r="A13" s="49"/>
      <c r="B13" s="49"/>
      <c r="C13" s="49"/>
      <c r="D13" s="49"/>
      <c r="E13" s="49"/>
      <c r="F13" s="49"/>
      <c r="G13" s="48"/>
      <c r="H13" s="48"/>
      <c r="I13" s="48"/>
      <c r="J13" s="48"/>
      <c r="K13" s="48"/>
      <c r="L13" s="48"/>
    </row>
    <row r="14" spans="1:13" ht="18" customHeight="1" x14ac:dyDescent="0.25">
      <c r="A14" s="1841" t="s">
        <v>117</v>
      </c>
      <c r="B14" s="1841"/>
      <c r="C14" s="1841"/>
      <c r="D14" s="1841"/>
      <c r="E14" s="1841"/>
      <c r="F14" s="1841"/>
      <c r="G14" s="1841"/>
      <c r="H14" s="1841"/>
      <c r="I14" s="1841"/>
      <c r="J14" s="1841"/>
      <c r="K14" s="1841"/>
      <c r="L14" s="49"/>
    </row>
    <row r="15" spans="1:13" ht="16.5" customHeight="1" x14ac:dyDescent="0.25">
      <c r="A15" s="49"/>
      <c r="B15" s="49"/>
      <c r="C15" s="49"/>
      <c r="D15" s="49"/>
      <c r="E15" s="49"/>
      <c r="F15" s="49"/>
      <c r="G15" s="49"/>
      <c r="H15" s="49"/>
      <c r="I15" s="49"/>
      <c r="J15" s="49"/>
      <c r="K15" s="49"/>
      <c r="L15" s="49"/>
    </row>
    <row r="16" spans="1:13" x14ac:dyDescent="0.25">
      <c r="A16" s="49"/>
      <c r="B16" s="1902" t="s">
        <v>1248</v>
      </c>
      <c r="C16" s="1903"/>
      <c r="D16" s="1903"/>
      <c r="E16" s="1903"/>
      <c r="F16" s="1903"/>
      <c r="G16" s="1904"/>
      <c r="H16" s="49"/>
      <c r="I16" s="49"/>
      <c r="J16" s="49"/>
      <c r="K16" s="49"/>
      <c r="L16" s="49"/>
    </row>
    <row r="17" spans="1:13" x14ac:dyDescent="0.25">
      <c r="A17" s="49"/>
      <c r="B17" s="1796" t="s">
        <v>1249</v>
      </c>
      <c r="C17" s="1797"/>
      <c r="D17" s="1797"/>
      <c r="E17" s="1797"/>
      <c r="F17" s="1797"/>
      <c r="G17" s="1798"/>
      <c r="H17" s="49"/>
      <c r="I17" s="49"/>
      <c r="J17" s="49"/>
      <c r="K17" s="49"/>
      <c r="L17" s="49"/>
    </row>
    <row r="18" spans="1:13" x14ac:dyDescent="0.25">
      <c r="A18" s="49"/>
      <c r="B18" s="1808" t="s">
        <v>143</v>
      </c>
      <c r="C18" s="1809"/>
      <c r="D18" s="1809"/>
      <c r="E18" s="1809"/>
      <c r="F18" s="1809"/>
      <c r="G18" s="1810"/>
      <c r="H18" s="49"/>
      <c r="I18" s="49"/>
      <c r="J18" s="49"/>
      <c r="K18" s="49"/>
      <c r="L18" s="49"/>
    </row>
    <row r="19" spans="1:13" x14ac:dyDescent="0.25">
      <c r="A19" s="49"/>
      <c r="B19" s="1808" t="s">
        <v>1356</v>
      </c>
      <c r="C19" s="1809"/>
      <c r="D19" s="1809"/>
      <c r="E19" s="1809"/>
      <c r="F19" s="1809"/>
      <c r="G19" s="1810"/>
      <c r="H19" s="49"/>
      <c r="I19" s="49"/>
      <c r="J19" s="49"/>
      <c r="K19" s="49"/>
      <c r="L19" s="49"/>
    </row>
    <row r="20" spans="1:13" x14ac:dyDescent="0.25">
      <c r="A20" s="49"/>
      <c r="B20" s="1808" t="s">
        <v>140</v>
      </c>
      <c r="C20" s="1809"/>
      <c r="D20" s="1809"/>
      <c r="E20" s="1809"/>
      <c r="F20" s="1809"/>
      <c r="G20" s="1810"/>
      <c r="H20" s="49"/>
      <c r="I20" s="49"/>
      <c r="J20" s="49"/>
      <c r="K20" s="49"/>
      <c r="L20" s="49"/>
    </row>
    <row r="21" spans="1:13" x14ac:dyDescent="0.25">
      <c r="A21" s="49"/>
      <c r="B21" s="1729" t="s">
        <v>142</v>
      </c>
      <c r="C21" s="1730"/>
      <c r="D21" s="1730"/>
      <c r="E21" s="1730"/>
      <c r="F21" s="1730"/>
      <c r="G21" s="1731"/>
      <c r="H21" s="49"/>
      <c r="I21" s="49"/>
      <c r="J21" s="49"/>
      <c r="K21" s="49"/>
      <c r="L21" s="49"/>
    </row>
    <row r="22" spans="1:13" ht="12" customHeight="1" x14ac:dyDescent="0.25">
      <c r="A22" s="49"/>
      <c r="B22" s="615"/>
      <c r="C22" s="49"/>
      <c r="D22" s="49"/>
      <c r="E22" s="49"/>
      <c r="F22" s="49"/>
      <c r="G22" s="49"/>
      <c r="H22" s="49"/>
      <c r="I22" s="49"/>
      <c r="J22" s="49"/>
      <c r="K22" s="49"/>
      <c r="L22" s="49"/>
    </row>
    <row r="23" spans="1:13" x14ac:dyDescent="0.25">
      <c r="A23" s="49"/>
      <c r="B23" s="626" t="s">
        <v>1006</v>
      </c>
      <c r="C23" s="49"/>
      <c r="D23" s="49"/>
      <c r="E23" s="49"/>
      <c r="F23" s="49"/>
      <c r="G23" s="49"/>
      <c r="H23" s="49"/>
      <c r="I23" s="49"/>
      <c r="J23" s="49"/>
      <c r="K23" s="49"/>
      <c r="L23" s="49"/>
    </row>
    <row r="24" spans="1:13" ht="12.75" customHeight="1" x14ac:dyDescent="0.25">
      <c r="A24" s="49"/>
      <c r="B24" s="615"/>
      <c r="C24" s="49"/>
      <c r="D24" s="49"/>
      <c r="E24" s="49"/>
      <c r="F24" s="49"/>
      <c r="G24" s="49"/>
      <c r="H24" s="49"/>
      <c r="I24" s="49"/>
      <c r="J24" s="49"/>
      <c r="K24" s="49"/>
      <c r="L24" s="49"/>
    </row>
    <row r="25" spans="1:13" x14ac:dyDescent="0.25">
      <c r="A25" s="49"/>
      <c r="B25" s="1900" t="s">
        <v>1247</v>
      </c>
      <c r="C25" s="1901"/>
      <c r="D25" s="1901"/>
      <c r="E25" s="1901"/>
      <c r="F25" s="1901"/>
      <c r="G25" s="49"/>
      <c r="H25" s="49"/>
      <c r="I25" s="49"/>
      <c r="J25" s="49"/>
      <c r="K25" s="49"/>
      <c r="L25" s="49"/>
    </row>
    <row r="26" spans="1:13" ht="13.5" customHeight="1" x14ac:dyDescent="0.25">
      <c r="A26" s="49"/>
      <c r="B26" s="121"/>
      <c r="C26" s="49"/>
      <c r="D26" s="49"/>
      <c r="E26" s="49"/>
      <c r="F26" s="49"/>
      <c r="G26" s="49"/>
      <c r="H26" s="49"/>
      <c r="I26" s="49"/>
      <c r="J26" s="49"/>
      <c r="K26" s="49"/>
      <c r="L26" s="49"/>
    </row>
    <row r="27" spans="1:13" ht="18" customHeight="1" x14ac:dyDescent="0.25">
      <c r="A27" s="49"/>
      <c r="B27" s="1620" t="str">
        <f>IF('Project information'!$C$7="Full Certification stage","• Has a drinking water filtration system been installed?","• Will a drinking water filtration system be installed?")</f>
        <v>• Will a drinking water filtration system be installed?</v>
      </c>
      <c r="C27" s="1620"/>
      <c r="D27" s="1620"/>
      <c r="E27" s="810" t="s">
        <v>62</v>
      </c>
      <c r="F27" s="49"/>
      <c r="G27" s="49"/>
      <c r="H27" s="49"/>
      <c r="I27" s="49"/>
      <c r="J27" s="49"/>
      <c r="K27" s="49"/>
      <c r="L27" s="666" t="b">
        <v>0</v>
      </c>
      <c r="M27" s="57" t="b">
        <v>0</v>
      </c>
    </row>
    <row r="28" spans="1:13" ht="10.5" customHeight="1" x14ac:dyDescent="0.25">
      <c r="A28" s="49"/>
      <c r="B28" s="49"/>
      <c r="C28" s="49"/>
      <c r="D28" s="49"/>
      <c r="E28" s="49"/>
      <c r="F28" s="49"/>
      <c r="G28" s="49"/>
      <c r="H28" s="49"/>
      <c r="I28" s="49"/>
      <c r="J28" s="49"/>
      <c r="K28" s="49"/>
      <c r="L28" s="49"/>
    </row>
    <row r="29" spans="1:13" ht="18" customHeight="1" x14ac:dyDescent="0.25">
      <c r="A29" s="49"/>
      <c r="B29" s="1894" t="str">
        <f>IF('Project information'!$C$7="Full Certification stage","Does the filtration system contain filters that can remove the following ?","Will the filtration system contain filters that can remove the following ?")</f>
        <v>Will the filtration system contain filters that can remove the following ?</v>
      </c>
      <c r="C29" s="1895"/>
      <c r="D29" s="1895"/>
      <c r="E29" s="1895"/>
      <c r="F29" s="834" t="s">
        <v>141</v>
      </c>
      <c r="G29" s="1896" t="s">
        <v>760</v>
      </c>
      <c r="H29" s="1897"/>
      <c r="I29" s="49"/>
      <c r="J29" s="49"/>
      <c r="K29" s="49"/>
      <c r="L29" s="71"/>
    </row>
    <row r="30" spans="1:13" ht="18" customHeight="1" x14ac:dyDescent="0.25">
      <c r="A30" s="49"/>
      <c r="B30" s="1620" t="s">
        <v>143</v>
      </c>
      <c r="C30" s="1620"/>
      <c r="D30" s="1620"/>
      <c r="E30" s="1093" t="s">
        <v>62</v>
      </c>
      <c r="F30" s="1121" t="s">
        <v>62</v>
      </c>
      <c r="G30" s="1905"/>
      <c r="H30" s="1648"/>
      <c r="I30" s="49"/>
      <c r="J30" s="49"/>
      <c r="K30" s="49"/>
      <c r="L30" s="71" t="b">
        <f>IF(E30="Yes",TRUE,FALSE)</f>
        <v>0</v>
      </c>
      <c r="M30" s="37" t="str">
        <f>IF(AND(L30=TRUE,F30&lt;&gt;"Select"),IF(F30="other",IF(G30&lt;&gt;"","Yes","No"),"Yes"),"No")</f>
        <v>No</v>
      </c>
    </row>
    <row r="31" spans="1:13" ht="18" customHeight="1" x14ac:dyDescent="0.25">
      <c r="A31" s="49"/>
      <c r="B31" s="1620" t="s">
        <v>139</v>
      </c>
      <c r="C31" s="1620"/>
      <c r="D31" s="1620"/>
      <c r="E31" s="1251" t="s">
        <v>62</v>
      </c>
      <c r="F31" s="1121" t="s">
        <v>62</v>
      </c>
      <c r="G31" s="1648"/>
      <c r="H31" s="1648"/>
      <c r="I31" s="49"/>
      <c r="J31" s="49"/>
      <c r="K31" s="49"/>
      <c r="L31" s="71" t="b">
        <f t="shared" ref="L31:L33" si="0">IF(E31="Yes",TRUE,FALSE)</f>
        <v>0</v>
      </c>
      <c r="M31" s="37" t="str">
        <f t="shared" ref="M31:M33" si="1">IF(AND(L31=TRUE,F31&lt;&gt;"Select"),IF(F31="other",IF(G31&lt;&gt;"","Yes","No"),"Yes"),"No")</f>
        <v>No</v>
      </c>
    </row>
    <row r="32" spans="1:13" ht="18" customHeight="1" x14ac:dyDescent="0.25">
      <c r="A32" s="49"/>
      <c r="B32" s="1620" t="s">
        <v>140</v>
      </c>
      <c r="C32" s="1620"/>
      <c r="D32" s="1620"/>
      <c r="E32" s="1251" t="s">
        <v>62</v>
      </c>
      <c r="F32" s="1121" t="s">
        <v>62</v>
      </c>
      <c r="G32" s="1648"/>
      <c r="H32" s="1648"/>
      <c r="I32" s="49"/>
      <c r="J32" s="49"/>
      <c r="K32" s="49"/>
      <c r="L32" s="71" t="b">
        <f t="shared" si="0"/>
        <v>0</v>
      </c>
      <c r="M32" s="37" t="str">
        <f t="shared" si="1"/>
        <v>No</v>
      </c>
    </row>
    <row r="33" spans="1:13" ht="18" customHeight="1" x14ac:dyDescent="0.25">
      <c r="A33" s="49"/>
      <c r="B33" s="1620" t="s">
        <v>142</v>
      </c>
      <c r="C33" s="1620"/>
      <c r="D33" s="1620"/>
      <c r="E33" s="1251" t="s">
        <v>62</v>
      </c>
      <c r="F33" s="1121" t="s">
        <v>62</v>
      </c>
      <c r="G33" s="1648"/>
      <c r="H33" s="1648"/>
      <c r="I33" s="49"/>
      <c r="J33" s="49"/>
      <c r="K33" s="49"/>
      <c r="L33" s="71" t="b">
        <f t="shared" si="0"/>
        <v>0</v>
      </c>
      <c r="M33" s="37" t="str">
        <f t="shared" si="1"/>
        <v>No</v>
      </c>
    </row>
    <row r="34" spans="1:13" x14ac:dyDescent="0.25">
      <c r="A34" s="49"/>
      <c r="B34" s="49"/>
      <c r="C34" s="49"/>
      <c r="D34" s="49"/>
      <c r="E34" s="49"/>
      <c r="F34" s="49"/>
      <c r="G34" s="49"/>
      <c r="H34" s="49"/>
      <c r="I34" s="49"/>
      <c r="J34" s="49"/>
      <c r="K34" s="49"/>
      <c r="L34" s="49"/>
    </row>
    <row r="35" spans="1:13" ht="18" customHeight="1" x14ac:dyDescent="0.25">
      <c r="A35" s="49"/>
      <c r="B35" s="1908" t="s">
        <v>286</v>
      </c>
      <c r="C35" s="1909"/>
      <c r="D35" s="1910"/>
      <c r="E35" s="103" t="str">
        <f>IF(AND(E27="Yes",E30="Yes",E31="Yes",E32="Yes",E33="Yes"),"Yes","No")</f>
        <v>No</v>
      </c>
      <c r="F35" s="49"/>
      <c r="G35" s="49"/>
      <c r="H35" s="49"/>
      <c r="I35" s="49"/>
      <c r="J35" s="49"/>
      <c r="K35" s="49"/>
      <c r="L35" s="49"/>
    </row>
    <row r="36" spans="1:13" ht="19.5" customHeight="1" x14ac:dyDescent="0.25">
      <c r="A36" s="49"/>
      <c r="B36" s="49"/>
      <c r="C36" s="49"/>
      <c r="D36" s="49"/>
      <c r="E36" s="49"/>
      <c r="F36" s="49"/>
      <c r="G36" s="49"/>
      <c r="H36" s="49"/>
      <c r="I36" s="49"/>
      <c r="J36" s="49"/>
      <c r="K36" s="49"/>
      <c r="L36" s="49"/>
    </row>
    <row r="37" spans="1:13" ht="18" customHeight="1" x14ac:dyDescent="0.25">
      <c r="A37" s="1841" t="s">
        <v>97</v>
      </c>
      <c r="B37" s="1841"/>
      <c r="C37" s="1841"/>
      <c r="D37" s="1841"/>
      <c r="E37" s="1841"/>
      <c r="F37" s="1841"/>
      <c r="G37" s="1841"/>
      <c r="H37" s="1841"/>
      <c r="I37" s="1841"/>
      <c r="J37" s="1841"/>
      <c r="K37" s="1841"/>
      <c r="L37" s="49"/>
    </row>
    <row r="38" spans="1:13" x14ac:dyDescent="0.25">
      <c r="A38" s="49"/>
      <c r="B38" s="49"/>
      <c r="C38" s="49"/>
      <c r="D38" s="49"/>
      <c r="E38" s="49"/>
      <c r="F38" s="49"/>
      <c r="G38" s="49"/>
      <c r="H38" s="49"/>
      <c r="I38" s="49"/>
      <c r="J38" s="49"/>
      <c r="K38" s="49"/>
      <c r="L38" s="49"/>
    </row>
    <row r="39" spans="1:13" ht="21" customHeight="1" x14ac:dyDescent="0.25">
      <c r="A39" s="48"/>
      <c r="B39" s="1871" t="s">
        <v>98</v>
      </c>
      <c r="C39" s="1872"/>
      <c r="D39" s="1872"/>
      <c r="E39" s="1872"/>
      <c r="F39" s="1872"/>
      <c r="G39" s="835" t="s">
        <v>1297</v>
      </c>
      <c r="H39" s="835" t="s">
        <v>1298</v>
      </c>
      <c r="I39" s="49"/>
      <c r="J39" s="48"/>
      <c r="K39" s="48"/>
      <c r="L39" s="49"/>
    </row>
    <row r="40" spans="1:13" ht="27" customHeight="1" x14ac:dyDescent="0.25">
      <c r="A40" s="48"/>
      <c r="B40" s="1906" t="str">
        <f>Submittals!H50</f>
        <v>Select the Submission Stage in Project Information</v>
      </c>
      <c r="C40" s="1907"/>
      <c r="D40" s="1907"/>
      <c r="E40" s="1907"/>
      <c r="F40" s="1907"/>
      <c r="G40" s="821" t="s">
        <v>2038</v>
      </c>
      <c r="H40" s="824"/>
      <c r="I40" s="49"/>
      <c r="J40" s="48"/>
      <c r="K40" s="48"/>
      <c r="L40" s="37" t="str">
        <f>IF(OR(B40="/",B40="No evidence required at this submission stage"),"Yes",IF(G40="Submitted","Yes","No"))</f>
        <v>Yes</v>
      </c>
    </row>
    <row r="41" spans="1:13" ht="30" customHeight="1" x14ac:dyDescent="0.25">
      <c r="A41" s="48"/>
      <c r="B41" s="1906" t="str">
        <f>Submittals!H51</f>
        <v>Select the Submission Stage in Project Information</v>
      </c>
      <c r="C41" s="1907"/>
      <c r="D41" s="1907"/>
      <c r="E41" s="1907"/>
      <c r="F41" s="1907"/>
      <c r="G41" s="821" t="s">
        <v>62</v>
      </c>
      <c r="H41" s="824"/>
      <c r="I41" s="49"/>
      <c r="J41" s="48"/>
      <c r="K41" s="48"/>
      <c r="L41" s="37" t="str">
        <f>IF(OR(B41="/",B41="No evidence required at this submission stage"),"Yes",IF(G41="Submitted","Yes","No"))</f>
        <v>No</v>
      </c>
    </row>
    <row r="42" spans="1:13" ht="19.5" customHeight="1" x14ac:dyDescent="0.25">
      <c r="A42" s="49"/>
      <c r="B42" s="49"/>
      <c r="C42" s="49"/>
      <c r="D42" s="49"/>
      <c r="E42" s="49"/>
      <c r="F42" s="49"/>
      <c r="G42" s="49"/>
      <c r="H42" s="49"/>
      <c r="I42" s="49"/>
      <c r="J42" s="49"/>
      <c r="K42" s="49"/>
      <c r="L42" s="49"/>
    </row>
    <row r="43" spans="1:13" ht="18" customHeight="1" x14ac:dyDescent="0.25">
      <c r="A43" s="1841" t="s">
        <v>8</v>
      </c>
      <c r="B43" s="1841"/>
      <c r="C43" s="1841"/>
      <c r="D43" s="1841"/>
      <c r="E43" s="1841"/>
      <c r="F43" s="1841"/>
      <c r="G43" s="1841"/>
      <c r="H43" s="1841"/>
      <c r="I43" s="1841"/>
      <c r="J43" s="1841"/>
      <c r="K43" s="1841"/>
      <c r="L43" s="49"/>
    </row>
    <row r="44" spans="1:13" ht="16.5" customHeight="1" x14ac:dyDescent="0.25">
      <c r="A44" s="49"/>
      <c r="B44" s="49"/>
      <c r="C44" s="49"/>
      <c r="D44" s="49"/>
      <c r="E44" s="49"/>
      <c r="F44" s="49"/>
      <c r="G44" s="48"/>
      <c r="H44" s="48"/>
      <c r="I44" s="48"/>
      <c r="J44" s="48"/>
      <c r="K44" s="48"/>
      <c r="L44" s="48"/>
    </row>
    <row r="45" spans="1:13" ht="18" customHeight="1" x14ac:dyDescent="0.25">
      <c r="A45" s="49"/>
      <c r="B45" s="122" t="s">
        <v>19</v>
      </c>
      <c r="C45" s="8">
        <f>IF(E35="Yes",1,0)</f>
        <v>0</v>
      </c>
      <c r="D45" s="49"/>
      <c r="E45" s="49"/>
      <c r="F45" s="49"/>
      <c r="G45" s="49"/>
      <c r="H45" s="49"/>
      <c r="I45" s="49"/>
      <c r="J45" s="49"/>
      <c r="K45" s="49"/>
      <c r="L45" s="49"/>
    </row>
    <row r="46" spans="1:13" ht="18" customHeight="1" x14ac:dyDescent="0.25">
      <c r="A46" s="49"/>
      <c r="B46" s="122" t="s">
        <v>151</v>
      </c>
      <c r="C46" s="7" t="str">
        <f>IF(AND(COUNTIF(L40:L41,"Yes")=2,C45=1),"Yes","No")</f>
        <v>No</v>
      </c>
      <c r="D46" s="49"/>
      <c r="E46" s="49"/>
      <c r="F46" s="49"/>
      <c r="G46" s="49"/>
      <c r="H46" s="49"/>
      <c r="I46" s="49"/>
      <c r="J46" s="49"/>
      <c r="K46" s="49"/>
      <c r="L46" s="49"/>
    </row>
    <row r="47" spans="1:13" ht="19.5" customHeight="1" x14ac:dyDescent="0.25">
      <c r="A47" s="49"/>
      <c r="B47" s="49"/>
      <c r="C47" s="49"/>
      <c r="D47" s="49"/>
      <c r="E47" s="49"/>
      <c r="F47" s="49"/>
      <c r="G47" s="49"/>
      <c r="H47" s="49"/>
      <c r="I47" s="49"/>
      <c r="J47" s="49"/>
      <c r="K47" s="49"/>
      <c r="L47" s="49"/>
    </row>
    <row r="48" spans="1:13" hidden="1" x14ac:dyDescent="0.25">
      <c r="A48" s="49"/>
      <c r="B48" s="49"/>
      <c r="C48" s="49"/>
      <c r="D48" s="49"/>
      <c r="E48" s="49"/>
      <c r="F48" s="49"/>
      <c r="G48" s="49"/>
      <c r="H48" s="49"/>
      <c r="I48" s="49"/>
      <c r="J48" s="49"/>
      <c r="K48" s="49"/>
      <c r="L48" s="49"/>
    </row>
    <row r="49" spans="1:12" hidden="1" collapsed="1" x14ac:dyDescent="0.25">
      <c r="A49" s="49"/>
      <c r="B49" s="49"/>
      <c r="C49" s="49"/>
      <c r="D49" s="49"/>
      <c r="E49" s="49"/>
      <c r="F49" s="49"/>
      <c r="G49" s="48"/>
      <c r="H49" s="48"/>
      <c r="I49" s="48"/>
      <c r="J49" s="48"/>
      <c r="K49" s="48"/>
      <c r="L49" s="48"/>
    </row>
    <row r="50" spans="1:12" hidden="1" x14ac:dyDescent="0.25"/>
    <row r="51" spans="1:12" hidden="1" x14ac:dyDescent="0.25"/>
    <row r="52" spans="1:12" hidden="1" x14ac:dyDescent="0.25"/>
    <row r="53" spans="1:12" hidden="1" x14ac:dyDescent="0.25"/>
    <row r="54" spans="1:12" hidden="1" x14ac:dyDescent="0.25"/>
    <row r="55" spans="1:12" hidden="1" x14ac:dyDescent="0.25"/>
    <row r="56" spans="1:12" hidden="1" x14ac:dyDescent="0.25"/>
    <row r="57" spans="1:12" hidden="1" x14ac:dyDescent="0.25"/>
    <row r="58" spans="1:12" hidden="1" x14ac:dyDescent="0.25"/>
    <row r="59" spans="1:12" hidden="1" x14ac:dyDescent="0.25"/>
    <row r="60" spans="1:12" hidden="1" x14ac:dyDescent="0.25"/>
    <row r="61" spans="1:12" hidden="1" x14ac:dyDescent="0.25"/>
    <row r="62" spans="1:12" hidden="1" x14ac:dyDescent="0.25"/>
    <row r="63" spans="1:12" hidden="1" x14ac:dyDescent="0.25"/>
    <row r="64" spans="1: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4.2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sheetData>
  <sheetProtection algorithmName="SHA-512" hashValue="ql11V44+aTAjObN22R0/j0HBgTCpOhNP35KIvjUzwRghqOppxwe8DbbCNnYzoNjMAS+QkuS/nJKGH6AmwoXWdA==" saltValue="NbSTU3WQbp3enWJrYJ7wHQ==" spinCount="100000" sheet="1" objects="1" scenarios="1"/>
  <mergeCells count="31">
    <mergeCell ref="B21:G21"/>
    <mergeCell ref="A43:K43"/>
    <mergeCell ref="B31:D31"/>
    <mergeCell ref="B30:D30"/>
    <mergeCell ref="G30:H30"/>
    <mergeCell ref="G31:H31"/>
    <mergeCell ref="G32:H32"/>
    <mergeCell ref="G33:H33"/>
    <mergeCell ref="B32:D32"/>
    <mergeCell ref="B33:D33"/>
    <mergeCell ref="B39:F39"/>
    <mergeCell ref="B40:F40"/>
    <mergeCell ref="B41:F41"/>
    <mergeCell ref="B35:D35"/>
    <mergeCell ref="A37:K37"/>
    <mergeCell ref="A1:K1"/>
    <mergeCell ref="B29:E29"/>
    <mergeCell ref="G29:H29"/>
    <mergeCell ref="B27:D27"/>
    <mergeCell ref="I2:J4"/>
    <mergeCell ref="A5:K7"/>
    <mergeCell ref="B25:F25"/>
    <mergeCell ref="B11:E11"/>
    <mergeCell ref="B12:E12"/>
    <mergeCell ref="A9:K9"/>
    <mergeCell ref="A14:K14"/>
    <mergeCell ref="B16:G16"/>
    <mergeCell ref="B17:G17"/>
    <mergeCell ref="B18:G18"/>
    <mergeCell ref="B19:G19"/>
    <mergeCell ref="B20:G20"/>
  </mergeCells>
  <conditionalFormatting sqref="G40:H41">
    <cfRule type="expression" dxfId="488" priority="2">
      <formula>$B40="/"</formula>
    </cfRule>
    <cfRule type="expression" dxfId="487" priority="3">
      <formula>$B40="No evidence required at this submission stage"</formula>
    </cfRule>
  </conditionalFormatting>
  <dataValidations count="4">
    <dataValidation type="list" allowBlank="1" showInputMessage="1" showErrorMessage="1" sqref="G40:G41">
      <formula1>"Select,Submitted,Not submitted"</formula1>
    </dataValidation>
    <dataValidation type="list" allowBlank="1" showInputMessage="1" showErrorMessage="1" sqref="E27 E30:E33">
      <formula1>"Select,Yes,No"</formula1>
    </dataValidation>
    <dataValidation allowBlank="1" showInputMessage="1" showErrorMessage="1" prompt="Complete if known._x000a_If not completed, submitted documentation should show that the filtration system is capable to remove all the pollutants listed." sqref="F29"/>
    <dataValidation type="list" allowBlank="1" showInputMessage="1" showErrorMessage="1" prompt="Complete if known._x000a_If not completed, submitted documentation should show that the filtration system is capable to remove all the pollutants listed." sqref="F30:F33">
      <formula1>"Select,sediment filter,reverse-osmosis filter,activated carbon filter, other"</formula1>
    </dataValidation>
  </dataValidations>
  <hyperlinks>
    <hyperlink ref="K3" location="'W-PR-1 &amp; W-1 Efficient Fixtures'!D3" tooltip="W-1" display="W-1"/>
  </hyperlinks>
  <pageMargins left="0.7" right="0.7" top="0.75" bottom="0.75" header="0.3" footer="0.3"/>
  <pageSetup orientation="portrait" horizontalDpi="30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F4970"/>
  </sheetPr>
  <dimension ref="A1:Q57"/>
  <sheetViews>
    <sheetView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85546875" customWidth="1"/>
    <col min="3" max="3" width="3.5703125" customWidth="1"/>
    <col min="4" max="4" width="11.140625" customWidth="1"/>
    <col min="5" max="6" width="20.5703125" customWidth="1"/>
    <col min="7" max="8" width="19.7109375" customWidth="1"/>
    <col min="9" max="10" width="8" customWidth="1"/>
    <col min="11" max="12" width="4.7109375" customWidth="1"/>
    <col min="13" max="17" width="0" hidden="1" customWidth="1"/>
    <col min="18" max="16384" width="9.140625" hidden="1"/>
  </cols>
  <sheetData>
    <row r="1" spans="1:12" ht="30" customHeight="1" x14ac:dyDescent="0.25">
      <c r="A1" s="43"/>
      <c r="B1" s="1914" t="s">
        <v>101</v>
      </c>
      <c r="C1" s="160"/>
      <c r="D1" s="1"/>
      <c r="E1" s="1"/>
      <c r="F1" s="1"/>
      <c r="G1" s="1"/>
      <c r="H1" s="1"/>
      <c r="I1" s="1"/>
      <c r="J1" s="1"/>
      <c r="K1" s="1"/>
      <c r="L1" s="1"/>
    </row>
    <row r="2" spans="1:12" ht="30" customHeight="1" x14ac:dyDescent="0.25">
      <c r="A2" s="43"/>
      <c r="B2" s="1914"/>
      <c r="C2" s="160"/>
      <c r="D2" s="1"/>
      <c r="E2" s="1"/>
      <c r="F2" s="1"/>
      <c r="G2" s="1"/>
      <c r="H2" s="1"/>
      <c r="I2" s="1"/>
      <c r="J2" s="1"/>
      <c r="K2" s="1"/>
      <c r="L2" s="1"/>
    </row>
    <row r="3" spans="1:12" ht="21.75" customHeight="1" x14ac:dyDescent="0.25">
      <c r="A3" s="43"/>
      <c r="B3" s="1914"/>
      <c r="C3" s="160"/>
      <c r="D3" s="1"/>
      <c r="E3" s="1"/>
      <c r="F3" s="1"/>
      <c r="G3" s="1"/>
      <c r="H3" s="1"/>
      <c r="I3" s="1"/>
      <c r="J3" s="1"/>
      <c r="K3" s="1"/>
      <c r="L3" s="1"/>
    </row>
    <row r="4" spans="1:12" ht="15" customHeight="1" x14ac:dyDescent="0.25">
      <c r="A4" s="43"/>
      <c r="B4" s="1915" t="s">
        <v>1802</v>
      </c>
      <c r="C4" s="161"/>
      <c r="D4" s="1"/>
      <c r="E4" s="1"/>
      <c r="F4" s="1"/>
      <c r="G4" s="1"/>
      <c r="H4" s="1"/>
      <c r="I4" s="1"/>
      <c r="J4" s="1"/>
      <c r="K4" s="1"/>
      <c r="L4" s="1"/>
    </row>
    <row r="5" spans="1:12" ht="15" customHeight="1" x14ac:dyDescent="0.25">
      <c r="A5" s="43"/>
      <c r="B5" s="1915"/>
      <c r="C5" s="161"/>
      <c r="D5" s="1"/>
      <c r="E5" s="1916" t="s">
        <v>136</v>
      </c>
      <c r="F5" s="1917"/>
      <c r="G5" s="1911" t="s">
        <v>137</v>
      </c>
      <c r="H5" s="1911" t="s">
        <v>19</v>
      </c>
      <c r="I5" s="1"/>
      <c r="J5" s="1"/>
      <c r="K5" s="1"/>
      <c r="L5" s="1"/>
    </row>
    <row r="6" spans="1:12" ht="23.25" customHeight="1" x14ac:dyDescent="0.25">
      <c r="A6" s="43"/>
      <c r="B6" s="1915"/>
      <c r="C6" s="161"/>
      <c r="D6" s="1"/>
      <c r="E6" s="1918"/>
      <c r="F6" s="1919"/>
      <c r="G6" s="1911"/>
      <c r="H6" s="1911"/>
      <c r="I6" s="1"/>
      <c r="J6" s="1"/>
      <c r="K6" s="1"/>
      <c r="L6" s="1"/>
    </row>
    <row r="7" spans="1:12" ht="23.25" customHeight="1" x14ac:dyDescent="0.25">
      <c r="A7" s="43"/>
      <c r="B7" s="1915"/>
      <c r="C7" s="161"/>
      <c r="D7" s="1"/>
      <c r="E7" s="1912" t="s">
        <v>406</v>
      </c>
      <c r="F7" s="1912"/>
      <c r="G7" s="76">
        <v>10</v>
      </c>
      <c r="H7" s="76">
        <f>'M-1 Sustainable Materials'!G12</f>
        <v>0</v>
      </c>
      <c r="I7" s="1"/>
      <c r="J7" s="1"/>
      <c r="K7" s="1"/>
      <c r="L7" s="1"/>
    </row>
    <row r="8" spans="1:12" ht="23.25" customHeight="1" x14ac:dyDescent="0.25">
      <c r="A8" s="83"/>
      <c r="B8" s="1915"/>
      <c r="C8" s="161"/>
      <c r="D8" s="1"/>
      <c r="E8" s="1912" t="s">
        <v>407</v>
      </c>
      <c r="F8" s="1912"/>
      <c r="G8" s="76">
        <v>4</v>
      </c>
      <c r="H8" s="76">
        <f>'M-2 Sustainable Furniture'!G12</f>
        <v>0</v>
      </c>
      <c r="I8" s="1"/>
      <c r="J8" s="1"/>
      <c r="K8" s="1"/>
      <c r="L8" s="1"/>
    </row>
    <row r="9" spans="1:12" ht="23.25" customHeight="1" x14ac:dyDescent="0.25">
      <c r="A9" s="83"/>
      <c r="B9" s="1915"/>
      <c r="C9" s="161"/>
      <c r="D9" s="1"/>
      <c r="E9" s="87" t="s">
        <v>29</v>
      </c>
      <c r="F9" s="85"/>
      <c r="G9" s="86">
        <f>SUM(G7:G8)</f>
        <v>14</v>
      </c>
      <c r="H9" s="86">
        <f>SUM(H7:H8)</f>
        <v>0</v>
      </c>
      <c r="I9" s="1"/>
      <c r="J9" s="1"/>
      <c r="K9" s="1"/>
      <c r="L9" s="1"/>
    </row>
    <row r="10" spans="1:12" ht="23.25" customHeight="1" x14ac:dyDescent="0.25">
      <c r="A10" s="83"/>
      <c r="B10" s="1915"/>
      <c r="C10" s="161"/>
      <c r="D10" s="1"/>
      <c r="E10" s="1"/>
      <c r="F10" s="1"/>
      <c r="G10" s="1"/>
      <c r="H10" s="1"/>
      <c r="I10" s="3"/>
      <c r="J10" s="3"/>
      <c r="K10" s="3"/>
      <c r="L10" s="3"/>
    </row>
    <row r="11" spans="1:12" ht="23.25" customHeight="1" x14ac:dyDescent="0.25">
      <c r="A11" s="83"/>
      <c r="B11" s="1915"/>
      <c r="C11" s="172"/>
      <c r="D11" s="1"/>
      <c r="E11" s="1"/>
      <c r="F11" s="1"/>
      <c r="G11" s="1"/>
      <c r="H11" s="1"/>
      <c r="I11" s="3"/>
      <c r="J11" s="3"/>
      <c r="K11" s="3"/>
      <c r="L11" s="3"/>
    </row>
    <row r="12" spans="1:12" ht="15" customHeight="1" x14ac:dyDescent="0.25">
      <c r="A12" s="83"/>
      <c r="B12" s="84"/>
      <c r="C12" s="84"/>
      <c r="D12" s="1"/>
      <c r="E12" s="1"/>
      <c r="F12" s="1"/>
      <c r="G12" s="1"/>
      <c r="H12" s="1"/>
      <c r="I12" s="1"/>
      <c r="J12" s="1"/>
      <c r="K12" s="1"/>
      <c r="L12" s="1"/>
    </row>
    <row r="13" spans="1:12" ht="15" customHeight="1" x14ac:dyDescent="0.25">
      <c r="A13" s="83"/>
      <c r="B13" s="84"/>
      <c r="C13" s="84"/>
      <c r="D13" s="1"/>
      <c r="E13" s="1"/>
      <c r="F13" s="1"/>
      <c r="G13" s="1"/>
      <c r="H13" s="1"/>
      <c r="I13" s="1"/>
      <c r="J13" s="1"/>
      <c r="K13" s="1"/>
      <c r="L13" s="1"/>
    </row>
    <row r="14" spans="1:12" ht="15" customHeight="1" x14ac:dyDescent="0.25">
      <c r="A14" s="1913"/>
      <c r="B14" s="1913"/>
      <c r="C14" s="159"/>
      <c r="D14" s="1"/>
      <c r="E14" s="1"/>
      <c r="F14" s="1"/>
      <c r="G14" s="1"/>
      <c r="H14" s="1"/>
      <c r="I14" s="1"/>
      <c r="J14" s="1"/>
      <c r="K14" s="1"/>
      <c r="L14" s="1"/>
    </row>
    <row r="15" spans="1:12" ht="15" hidden="1" customHeight="1" x14ac:dyDescent="0.25">
      <c r="A15" s="73"/>
      <c r="B15" s="82"/>
      <c r="C15" s="82"/>
      <c r="D15" s="1"/>
      <c r="E15" s="1"/>
      <c r="F15" s="1"/>
      <c r="G15" s="1"/>
      <c r="H15" s="1"/>
      <c r="I15" s="1"/>
      <c r="J15" s="1"/>
      <c r="K15" s="1"/>
      <c r="L15" s="1"/>
    </row>
    <row r="16" spans="1:12" ht="15" hidden="1" customHeight="1" x14ac:dyDescent="0.25">
      <c r="A16" s="73"/>
      <c r="B16" s="82"/>
      <c r="C16" s="82"/>
      <c r="D16" s="1"/>
      <c r="E16" s="1"/>
      <c r="F16" s="1"/>
      <c r="G16" s="1"/>
      <c r="H16" s="1"/>
      <c r="I16" s="1"/>
      <c r="J16" s="1"/>
      <c r="K16" s="1"/>
      <c r="L16" s="1"/>
    </row>
    <row r="17" spans="1:12" ht="15" hidden="1" customHeight="1" x14ac:dyDescent="0.25">
      <c r="A17" s="73"/>
      <c r="B17" s="82"/>
      <c r="C17" s="82"/>
      <c r="D17" s="1"/>
      <c r="E17" s="1"/>
      <c r="F17" s="1"/>
      <c r="G17" s="1"/>
      <c r="H17" s="1"/>
      <c r="I17" s="1"/>
      <c r="J17" s="1"/>
      <c r="K17" s="1"/>
      <c r="L17" s="1"/>
    </row>
    <row r="18" spans="1:12" ht="15" hidden="1" customHeight="1" x14ac:dyDescent="0.25">
      <c r="A18" s="73"/>
      <c r="B18" s="82"/>
      <c r="C18" s="8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I40" s="1"/>
      <c r="J40" s="1"/>
      <c r="K40" s="1"/>
      <c r="L40" s="1"/>
    </row>
    <row r="41" spans="1:12" ht="15" hidden="1" customHeight="1" x14ac:dyDescent="0.25">
      <c r="A41" s="1"/>
      <c r="B41" s="2"/>
      <c r="C41" s="2"/>
      <c r="D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c r="A44" s="1"/>
      <c r="B44" s="2"/>
      <c r="C44" s="2"/>
      <c r="D44" s="1"/>
      <c r="I44" s="1"/>
      <c r="J44" s="1"/>
      <c r="K44" s="1"/>
      <c r="L44" s="1"/>
    </row>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7" ht="0" hidden="1" customHeight="1" x14ac:dyDescent="0.25"/>
  </sheetData>
  <sheetProtection algorithmName="SHA-512" hashValue="BmalYjsZlp1moc1CwwzQZP4++CrxuNE+NFMjvPcRWBWTAMu+RXXExwlJkT7D/vgDg01XeuU9YjK3z7ems7HKXw==" saltValue="npENoVpyikbwx40ZYMGJaw==" spinCount="100000" sheet="1" objects="1" scenarios="1"/>
  <mergeCells count="8">
    <mergeCell ref="B1:B3"/>
    <mergeCell ref="B4:B11"/>
    <mergeCell ref="E5:F6"/>
    <mergeCell ref="G5:G6"/>
    <mergeCell ref="H5:H6"/>
    <mergeCell ref="E7:F7"/>
    <mergeCell ref="A14:B14"/>
    <mergeCell ref="E8:F8"/>
  </mergeCells>
  <hyperlinks>
    <hyperlink ref="E7:F7" location="'M-1 Sustainable Materials'!B3" tooltip="M-1 Sustainable Materials" display="M-1 Sustainable Materials"/>
    <hyperlink ref="E8:F8" location="'M-2 Sustainable Furniture'!B3" tooltip="M-2 Sustainable Furniture Products" display="M-2 Sustainable Furniture Products"/>
  </hyperlink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5F4970"/>
  </sheetPr>
  <dimension ref="A1:Q485"/>
  <sheetViews>
    <sheetView workbookViewId="0">
      <pane ySplit="1" topLeftCell="A32" activePane="bottomLeft" state="frozen"/>
      <selection pane="bottomLeft" activeCell="A41" sqref="A41:XFD46"/>
    </sheetView>
  </sheetViews>
  <sheetFormatPr defaultColWidth="0" defaultRowHeight="15" customHeight="1" zeroHeight="1" x14ac:dyDescent="0.25"/>
  <cols>
    <col min="1" max="1" width="4.140625" customWidth="1"/>
    <col min="2" max="2" width="11.140625" customWidth="1"/>
    <col min="3" max="3" width="9.7109375" customWidth="1"/>
    <col min="4" max="17" width="9.140625" customWidth="1"/>
    <col min="18" max="16384" width="9.140625" hidden="1"/>
  </cols>
  <sheetData>
    <row r="1" spans="1:17" s="11" customFormat="1" ht="30" customHeight="1" x14ac:dyDescent="0.2">
      <c r="A1" s="1920" t="s">
        <v>2112</v>
      </c>
      <c r="B1" s="1920"/>
      <c r="C1" s="1920"/>
      <c r="D1" s="1920"/>
      <c r="E1" s="1920"/>
      <c r="F1" s="1920"/>
      <c r="G1" s="1920"/>
      <c r="H1" s="1920"/>
      <c r="I1" s="1920"/>
      <c r="J1" s="1920"/>
      <c r="K1" s="1920"/>
      <c r="L1" s="1920"/>
      <c r="M1" s="1920"/>
      <c r="N1" s="1920"/>
      <c r="O1" s="1920"/>
      <c r="P1" s="1920"/>
      <c r="Q1" s="1920"/>
    </row>
    <row r="2" spans="1:17" s="11" customFormat="1" ht="16.5" customHeight="1" x14ac:dyDescent="0.2">
      <c r="A2" s="12"/>
      <c r="B2" s="12"/>
      <c r="C2" s="12"/>
      <c r="D2" s="13"/>
      <c r="E2" s="13"/>
      <c r="F2" s="13"/>
      <c r="G2" s="13"/>
      <c r="H2" s="13"/>
      <c r="I2" s="13"/>
      <c r="J2" s="13"/>
      <c r="K2" s="13"/>
      <c r="L2" s="13"/>
      <c r="M2" s="13"/>
      <c r="N2" s="13"/>
      <c r="O2" s="13"/>
      <c r="P2" s="13"/>
      <c r="Q2" s="13"/>
    </row>
    <row r="3" spans="1:17" s="11" customFormat="1" ht="21" customHeight="1" x14ac:dyDescent="0.2">
      <c r="A3" s="1921" t="s">
        <v>2113</v>
      </c>
      <c r="B3" s="1921"/>
      <c r="C3" s="1921"/>
      <c r="D3" s="1921"/>
      <c r="E3" s="1921"/>
      <c r="F3" s="1921"/>
      <c r="G3" s="1921"/>
      <c r="H3" s="1921"/>
      <c r="I3" s="1921"/>
      <c r="J3" s="1921"/>
      <c r="K3" s="1921"/>
      <c r="L3" s="1921"/>
      <c r="M3" s="1921"/>
      <c r="N3" s="1921"/>
      <c r="O3" s="1921"/>
      <c r="P3" s="1921"/>
      <c r="Q3" s="1921"/>
    </row>
    <row r="4" spans="1:17" s="11" customFormat="1" ht="15" customHeight="1" x14ac:dyDescent="0.2">
      <c r="A4" s="12"/>
      <c r="B4" s="12"/>
      <c r="C4" s="12"/>
      <c r="D4" s="12"/>
      <c r="E4" s="12"/>
      <c r="F4" s="12"/>
      <c r="G4" s="12"/>
      <c r="H4" s="12"/>
      <c r="I4" s="12"/>
      <c r="J4" s="12"/>
      <c r="K4" s="12"/>
      <c r="L4" s="12"/>
      <c r="M4" s="12"/>
      <c r="N4" s="12"/>
      <c r="O4" s="12"/>
      <c r="P4" s="12"/>
      <c r="Q4" s="12"/>
    </row>
    <row r="5" spans="1:17" s="744" customFormat="1" x14ac:dyDescent="0.25">
      <c r="A5" s="743"/>
      <c r="B5" s="1151" t="s">
        <v>2286</v>
      </c>
      <c r="C5" s="257"/>
      <c r="D5" s="257"/>
      <c r="E5" s="257"/>
      <c r="F5" s="257"/>
      <c r="G5" s="257"/>
      <c r="H5" s="257"/>
      <c r="I5" s="257"/>
      <c r="J5" s="257"/>
      <c r="K5" s="257"/>
      <c r="L5" s="257"/>
      <c r="M5" s="257"/>
      <c r="N5" s="257"/>
      <c r="O5" s="257"/>
      <c r="P5" s="257"/>
      <c r="Q5" s="743"/>
    </row>
    <row r="6" spans="1:17" s="744" customFormat="1" ht="14.25" x14ac:dyDescent="0.25">
      <c r="A6" s="743"/>
      <c r="B6" s="1228" t="s">
        <v>2287</v>
      </c>
      <c r="C6" s="257"/>
      <c r="D6" s="257"/>
      <c r="E6" s="257"/>
      <c r="F6" s="257"/>
      <c r="G6" s="257"/>
      <c r="H6" s="257"/>
      <c r="I6" s="257"/>
      <c r="J6" s="257"/>
      <c r="K6" s="257"/>
      <c r="L6" s="257"/>
      <c r="M6" s="257"/>
      <c r="N6" s="257"/>
      <c r="O6" s="257"/>
      <c r="P6" s="257"/>
      <c r="Q6" s="743"/>
    </row>
    <row r="7" spans="1:17" s="11" customFormat="1" ht="14.25" x14ac:dyDescent="0.2">
      <c r="A7" s="12"/>
      <c r="B7" s="1152" t="s">
        <v>2288</v>
      </c>
      <c r="C7" s="12"/>
      <c r="D7" s="12"/>
      <c r="E7" s="12"/>
      <c r="F7" s="12"/>
      <c r="G7" s="12"/>
      <c r="H7" s="12"/>
      <c r="I7" s="12"/>
      <c r="J7" s="12"/>
      <c r="K7" s="12"/>
      <c r="L7" s="12"/>
      <c r="M7" s="12"/>
      <c r="N7" s="12"/>
      <c r="O7" s="12"/>
      <c r="P7" s="12"/>
      <c r="Q7" s="12"/>
    </row>
    <row r="8" spans="1:17" s="746" customFormat="1" ht="14.25" x14ac:dyDescent="0.2">
      <c r="A8" s="745"/>
      <c r="B8" s="1153" t="s">
        <v>2289</v>
      </c>
      <c r="C8" s="257"/>
      <c r="D8" s="257"/>
      <c r="E8" s="257"/>
      <c r="F8" s="257"/>
      <c r="G8" s="257"/>
      <c r="H8" s="257"/>
      <c r="I8" s="257"/>
      <c r="J8" s="257"/>
      <c r="K8" s="257"/>
      <c r="L8" s="257"/>
      <c r="M8" s="257"/>
      <c r="N8" s="257"/>
      <c r="O8" s="257"/>
      <c r="P8" s="257"/>
      <c r="Q8" s="745"/>
    </row>
    <row r="9" spans="1:17" s="746" customFormat="1" ht="14.25" x14ac:dyDescent="0.2">
      <c r="A9" s="745"/>
      <c r="B9" s="1153" t="s">
        <v>2290</v>
      </c>
      <c r="C9" s="1147"/>
      <c r="D9" s="1147"/>
      <c r="E9" s="1147"/>
      <c r="F9" s="1147"/>
      <c r="G9" s="1147"/>
      <c r="H9" s="1147"/>
      <c r="I9" s="1147"/>
      <c r="J9" s="1147"/>
      <c r="K9" s="1147"/>
      <c r="L9" s="1147"/>
      <c r="M9" s="1147"/>
      <c r="N9" s="1147"/>
      <c r="O9" s="1147"/>
      <c r="P9" s="1147"/>
      <c r="Q9" s="745"/>
    </row>
    <row r="10" spans="1:17" s="746" customFormat="1" ht="12" customHeight="1" x14ac:dyDescent="0.2">
      <c r="A10" s="745"/>
      <c r="B10" s="743"/>
      <c r="C10" s="1147"/>
      <c r="D10" s="1147"/>
      <c r="E10" s="1147"/>
      <c r="F10" s="1147"/>
      <c r="G10" s="1147"/>
      <c r="H10" s="1147"/>
      <c r="I10" s="1147"/>
      <c r="J10" s="1147"/>
      <c r="K10" s="1147"/>
      <c r="L10" s="1147"/>
      <c r="M10" s="1147"/>
      <c r="N10" s="1147"/>
      <c r="O10" s="1147"/>
      <c r="P10" s="1147"/>
      <c r="Q10" s="745"/>
    </row>
    <row r="11" spans="1:17" s="746" customFormat="1" x14ac:dyDescent="0.2">
      <c r="A11" s="745"/>
      <c r="B11" s="1151" t="s">
        <v>2291</v>
      </c>
      <c r="C11" s="1147"/>
      <c r="D11" s="1147"/>
      <c r="E11" s="1147"/>
      <c r="F11" s="1147"/>
      <c r="G11" s="1147"/>
      <c r="H11" s="1147"/>
      <c r="I11" s="1147"/>
      <c r="J11" s="1147"/>
      <c r="K11" s="1147"/>
      <c r="L11" s="1147"/>
      <c r="M11" s="1147"/>
      <c r="N11" s="1147"/>
      <c r="O11" s="1147"/>
      <c r="P11" s="1147"/>
      <c r="Q11" s="745"/>
    </row>
    <row r="12" spans="1:17" s="746" customFormat="1" ht="14.25" x14ac:dyDescent="0.2">
      <c r="A12" s="745"/>
      <c r="B12" s="743" t="s">
        <v>2292</v>
      </c>
      <c r="C12" s="743"/>
      <c r="D12" s="743"/>
      <c r="E12" s="743"/>
      <c r="F12" s="743"/>
      <c r="G12" s="743"/>
      <c r="H12" s="743"/>
      <c r="I12" s="743"/>
      <c r="J12" s="743"/>
      <c r="K12" s="743"/>
      <c r="L12" s="743"/>
      <c r="M12" s="743"/>
      <c r="N12" s="743"/>
      <c r="O12" s="743"/>
      <c r="P12" s="743"/>
      <c r="Q12" s="745"/>
    </row>
    <row r="13" spans="1:17" s="746" customFormat="1" ht="12" customHeight="1" x14ac:dyDescent="0.2">
      <c r="A13" s="745"/>
      <c r="B13" s="743"/>
      <c r="C13" s="743"/>
      <c r="D13" s="743"/>
      <c r="E13" s="743"/>
      <c r="F13" s="743"/>
      <c r="G13" s="743"/>
      <c r="H13" s="743"/>
      <c r="I13" s="743"/>
      <c r="J13" s="743"/>
      <c r="K13" s="743"/>
      <c r="L13" s="743"/>
      <c r="M13" s="743"/>
      <c r="N13" s="743"/>
      <c r="O13" s="743"/>
      <c r="P13" s="743"/>
      <c r="Q13" s="745"/>
    </row>
    <row r="14" spans="1:17" s="746" customFormat="1" x14ac:dyDescent="0.2">
      <c r="A14" s="745"/>
      <c r="B14" s="1151" t="s">
        <v>2293</v>
      </c>
      <c r="C14" s="743"/>
      <c r="D14" s="743"/>
      <c r="E14" s="743"/>
      <c r="F14" s="743"/>
      <c r="G14" s="743"/>
      <c r="H14" s="743"/>
      <c r="I14" s="743"/>
      <c r="J14" s="743"/>
      <c r="K14" s="743"/>
      <c r="L14" s="743"/>
      <c r="M14" s="743"/>
      <c r="N14" s="743"/>
      <c r="O14" s="743"/>
      <c r="P14" s="743"/>
      <c r="Q14" s="745"/>
    </row>
    <row r="15" spans="1:17" s="11" customFormat="1" ht="14.25" x14ac:dyDescent="0.2">
      <c r="A15" s="12"/>
      <c r="B15" s="12" t="s">
        <v>2294</v>
      </c>
      <c r="C15" s="12"/>
      <c r="D15" s="12"/>
      <c r="E15" s="12"/>
      <c r="F15" s="12"/>
      <c r="G15" s="12"/>
      <c r="H15" s="12"/>
      <c r="I15" s="12"/>
      <c r="J15" s="12"/>
      <c r="K15" s="12"/>
      <c r="L15" s="12"/>
      <c r="M15" s="12"/>
      <c r="N15" s="12"/>
      <c r="O15" s="12"/>
      <c r="P15" s="12"/>
      <c r="Q15" s="12"/>
    </row>
    <row r="16" spans="1:17" s="11" customFormat="1" ht="14.25" x14ac:dyDescent="0.2">
      <c r="A16" s="12"/>
      <c r="B16" s="12" t="s">
        <v>2114</v>
      </c>
      <c r="C16" s="12"/>
      <c r="D16" s="12"/>
      <c r="E16" s="12"/>
      <c r="F16" s="12"/>
      <c r="G16" s="12"/>
      <c r="H16" s="12"/>
      <c r="I16" s="12"/>
      <c r="J16" s="12"/>
      <c r="K16" s="743"/>
      <c r="L16" s="12"/>
      <c r="M16" s="12"/>
      <c r="N16" s="12"/>
      <c r="O16" s="12"/>
      <c r="P16" s="12"/>
      <c r="Q16" s="12"/>
    </row>
    <row r="17" spans="1:17" s="11" customFormat="1" ht="6" customHeight="1" x14ac:dyDescent="0.2">
      <c r="A17" s="12"/>
      <c r="B17" s="12"/>
      <c r="C17" s="12"/>
      <c r="D17" s="12"/>
      <c r="E17" s="12"/>
      <c r="F17" s="12"/>
      <c r="G17" s="12"/>
      <c r="H17" s="12"/>
      <c r="I17" s="12"/>
      <c r="J17" s="12"/>
      <c r="K17" s="743"/>
      <c r="L17" s="12"/>
      <c r="M17" s="12"/>
      <c r="N17" s="12"/>
      <c r="O17" s="12"/>
      <c r="P17" s="12"/>
      <c r="Q17" s="12"/>
    </row>
    <row r="18" spans="1:17" s="11" customFormat="1" ht="14.25" x14ac:dyDescent="0.2">
      <c r="A18" s="12"/>
      <c r="B18" s="1154" t="s">
        <v>2115</v>
      </c>
      <c r="C18" s="12"/>
      <c r="D18" s="12"/>
      <c r="E18" s="12"/>
      <c r="F18" s="12"/>
      <c r="G18" s="12"/>
      <c r="H18" s="12"/>
      <c r="I18" s="12"/>
      <c r="J18" s="12"/>
      <c r="K18" s="743"/>
      <c r="L18" s="12"/>
      <c r="M18" s="12"/>
      <c r="N18" s="12"/>
      <c r="O18" s="12"/>
      <c r="P18" s="12"/>
      <c r="Q18" s="12"/>
    </row>
    <row r="19" spans="1:17" s="11" customFormat="1" ht="14.25" x14ac:dyDescent="0.2">
      <c r="A19" s="12"/>
      <c r="B19" s="1154" t="s">
        <v>2116</v>
      </c>
      <c r="C19" s="12"/>
      <c r="D19" s="12"/>
      <c r="E19" s="12"/>
      <c r="F19" s="12"/>
      <c r="G19" s="12"/>
      <c r="H19" s="12"/>
      <c r="I19" s="12"/>
      <c r="J19" s="12"/>
      <c r="K19" s="743"/>
      <c r="L19" s="12"/>
      <c r="M19" s="12"/>
      <c r="N19" s="12"/>
      <c r="O19" s="12"/>
      <c r="P19" s="12"/>
      <c r="Q19" s="12"/>
    </row>
    <row r="20" spans="1:17" s="11" customFormat="1" ht="6" customHeight="1" x14ac:dyDescent="0.2">
      <c r="A20" s="12"/>
      <c r="B20" s="1155"/>
      <c r="C20" s="12"/>
      <c r="D20" s="12"/>
      <c r="E20" s="12"/>
      <c r="F20" s="12"/>
      <c r="G20" s="12"/>
      <c r="H20" s="12"/>
      <c r="I20" s="12"/>
      <c r="J20" s="12"/>
      <c r="K20" s="743"/>
      <c r="L20" s="12"/>
      <c r="M20" s="12"/>
      <c r="N20" s="12"/>
      <c r="O20" s="12"/>
      <c r="P20" s="12"/>
      <c r="Q20" s="12"/>
    </row>
    <row r="21" spans="1:17" s="11" customFormat="1" ht="14.25" x14ac:dyDescent="0.2">
      <c r="A21" s="12"/>
      <c r="B21" s="1922" t="s">
        <v>2117</v>
      </c>
      <c r="C21" s="1922"/>
      <c r="D21" s="1922"/>
      <c r="E21" s="1922"/>
      <c r="F21" s="1922"/>
      <c r="G21" s="1922"/>
      <c r="H21" s="1922"/>
      <c r="I21" s="1922"/>
      <c r="J21" s="1922"/>
      <c r="K21" s="1922"/>
      <c r="L21" s="1922"/>
      <c r="M21" s="1922"/>
      <c r="N21" s="1922"/>
      <c r="O21" s="1922"/>
      <c r="P21" s="1922"/>
      <c r="Q21" s="12"/>
    </row>
    <row r="22" spans="1:17" s="11" customFormat="1" ht="14.25" x14ac:dyDescent="0.2">
      <c r="A22" s="12"/>
      <c r="B22" s="1922"/>
      <c r="C22" s="1922"/>
      <c r="D22" s="1922"/>
      <c r="E22" s="1922"/>
      <c r="F22" s="1922"/>
      <c r="G22" s="1922"/>
      <c r="H22" s="1922"/>
      <c r="I22" s="1922"/>
      <c r="J22" s="1922"/>
      <c r="K22" s="1922"/>
      <c r="L22" s="1922"/>
      <c r="M22" s="1922"/>
      <c r="N22" s="1922"/>
      <c r="O22" s="1922"/>
      <c r="P22" s="1922"/>
      <c r="Q22" s="12"/>
    </row>
    <row r="23" spans="1:17" s="11" customFormat="1" ht="12" customHeight="1" x14ac:dyDescent="0.2">
      <c r="A23" s="12"/>
      <c r="B23" s="12"/>
      <c r="C23" s="12"/>
      <c r="D23" s="12"/>
      <c r="E23" s="12"/>
      <c r="F23" s="12"/>
      <c r="G23" s="12"/>
      <c r="H23" s="12"/>
      <c r="I23" s="12"/>
      <c r="J23" s="12"/>
      <c r="K23" s="12"/>
      <c r="L23" s="12"/>
      <c r="M23" s="12"/>
      <c r="N23" s="12"/>
      <c r="O23" s="12"/>
      <c r="P23" s="12"/>
      <c r="Q23" s="12"/>
    </row>
    <row r="24" spans="1:17" s="11" customFormat="1" ht="24" customHeight="1" x14ac:dyDescent="0.2">
      <c r="A24" s="12"/>
      <c r="B24" s="1923" t="s">
        <v>1074</v>
      </c>
      <c r="C24" s="1924"/>
      <c r="D24" s="1924"/>
      <c r="E24" s="1924"/>
      <c r="F24" s="1924"/>
      <c r="G24" s="1924"/>
      <c r="H24" s="1925"/>
      <c r="I24" s="12"/>
      <c r="J24" s="12"/>
      <c r="K24" s="12"/>
      <c r="L24" s="12"/>
      <c r="M24" s="12"/>
      <c r="N24" s="12"/>
      <c r="O24" s="12"/>
      <c r="P24" s="12"/>
      <c r="Q24" s="12"/>
    </row>
    <row r="25" spans="1:17" s="11" customFormat="1" ht="14.25" x14ac:dyDescent="0.2">
      <c r="A25" s="12"/>
      <c r="B25" s="743" t="s">
        <v>1073</v>
      </c>
      <c r="C25" s="743"/>
      <c r="D25" s="743"/>
      <c r="E25" s="743"/>
      <c r="F25" s="743"/>
      <c r="G25" s="743"/>
      <c r="H25" s="743"/>
      <c r="I25" s="743"/>
      <c r="J25" s="12"/>
      <c r="K25" s="12"/>
      <c r="L25" s="12"/>
      <c r="M25" s="12"/>
      <c r="N25" s="12"/>
      <c r="O25" s="12"/>
      <c r="P25" s="12"/>
      <c r="Q25" s="12"/>
    </row>
    <row r="26" spans="1:17" s="11" customFormat="1" ht="14.25" x14ac:dyDescent="0.2">
      <c r="A26" s="12"/>
      <c r="B26" s="743" t="s">
        <v>1072</v>
      </c>
      <c r="C26" s="743"/>
      <c r="D26" s="743"/>
      <c r="E26" s="743"/>
      <c r="F26" s="743"/>
      <c r="G26" s="743"/>
      <c r="H26" s="743"/>
      <c r="I26" s="743"/>
      <c r="J26" s="12"/>
      <c r="K26" s="12"/>
      <c r="L26" s="12"/>
      <c r="M26" s="12"/>
      <c r="N26" s="12"/>
      <c r="O26" s="12"/>
      <c r="P26" s="12"/>
      <c r="Q26" s="12"/>
    </row>
    <row r="27" spans="1:17" s="11" customFormat="1" ht="12" customHeight="1" x14ac:dyDescent="0.2">
      <c r="A27" s="12"/>
      <c r="B27" s="12"/>
      <c r="C27" s="743"/>
      <c r="D27" s="743"/>
      <c r="E27" s="743"/>
      <c r="F27" s="743"/>
      <c r="G27" s="743"/>
      <c r="H27" s="743"/>
      <c r="I27" s="743"/>
      <c r="J27" s="743"/>
      <c r="K27" s="12"/>
      <c r="L27" s="12"/>
      <c r="M27" s="12"/>
      <c r="N27" s="12"/>
      <c r="O27" s="12"/>
      <c r="P27" s="12"/>
      <c r="Q27" s="12"/>
    </row>
    <row r="28" spans="1:17" s="11" customFormat="1" x14ac:dyDescent="0.2">
      <c r="A28" s="12"/>
      <c r="B28" s="1151" t="s">
        <v>2295</v>
      </c>
      <c r="C28" s="743"/>
      <c r="D28" s="743"/>
      <c r="E28" s="743"/>
      <c r="F28" s="743"/>
      <c r="G28" s="743"/>
      <c r="H28" s="743"/>
      <c r="I28" s="12"/>
      <c r="J28" s="12"/>
      <c r="K28" s="12"/>
      <c r="L28" s="12"/>
      <c r="M28" s="12"/>
      <c r="N28" s="12"/>
      <c r="O28" s="12"/>
      <c r="P28" s="12"/>
      <c r="Q28" s="12"/>
    </row>
    <row r="29" spans="1:17" s="11" customFormat="1" ht="14.25" x14ac:dyDescent="0.2">
      <c r="A29" s="12"/>
      <c r="B29" s="743" t="s">
        <v>2296</v>
      </c>
      <c r="C29" s="743"/>
      <c r="D29" s="743"/>
      <c r="E29" s="743"/>
      <c r="F29" s="743"/>
      <c r="G29" s="743"/>
      <c r="H29" s="743"/>
      <c r="I29" s="743"/>
      <c r="J29" s="743"/>
      <c r="K29" s="743"/>
      <c r="L29" s="743"/>
      <c r="M29" s="743"/>
      <c r="N29" s="743"/>
      <c r="O29" s="743"/>
      <c r="P29" s="743"/>
      <c r="Q29" s="12"/>
    </row>
    <row r="30" spans="1:17" s="11" customFormat="1" ht="12" customHeight="1" x14ac:dyDescent="0.2">
      <c r="A30" s="12"/>
      <c r="B30" s="257"/>
      <c r="C30" s="257"/>
      <c r="D30" s="257"/>
      <c r="E30" s="257"/>
      <c r="F30" s="257"/>
      <c r="G30" s="257"/>
      <c r="H30" s="257"/>
      <c r="I30" s="257"/>
      <c r="J30" s="257"/>
      <c r="K30" s="257"/>
      <c r="L30" s="257"/>
      <c r="M30" s="257"/>
      <c r="N30" s="257"/>
      <c r="O30" s="257"/>
      <c r="P30" s="257"/>
      <c r="Q30" s="12"/>
    </row>
    <row r="31" spans="1:17" s="11" customFormat="1" x14ac:dyDescent="0.2">
      <c r="A31" s="12"/>
      <c r="B31" s="1151" t="s">
        <v>2356</v>
      </c>
      <c r="C31" s="743"/>
      <c r="D31" s="743"/>
      <c r="E31" s="743"/>
      <c r="F31" s="743"/>
      <c r="G31" s="743"/>
      <c r="H31" s="743"/>
      <c r="I31" s="743"/>
      <c r="J31" s="743"/>
      <c r="K31" s="743"/>
      <c r="L31" s="743"/>
      <c r="M31" s="743"/>
      <c r="N31" s="743"/>
      <c r="O31" s="743"/>
      <c r="P31" s="743"/>
      <c r="Q31" s="12"/>
    </row>
    <row r="32" spans="1:17" s="11" customFormat="1" ht="28.5" customHeight="1" x14ac:dyDescent="0.2">
      <c r="A32" s="12"/>
      <c r="B32" s="1926" t="s">
        <v>2297</v>
      </c>
      <c r="C32" s="1926"/>
      <c r="D32" s="1926"/>
      <c r="E32" s="1926"/>
      <c r="F32" s="1926"/>
      <c r="G32" s="1926"/>
      <c r="H32" s="1926"/>
      <c r="I32" s="1926"/>
      <c r="J32" s="1926"/>
      <c r="K32" s="1926"/>
      <c r="L32" s="1926"/>
      <c r="M32" s="1926"/>
      <c r="N32" s="1926"/>
      <c r="O32" s="1926"/>
      <c r="P32" s="1926"/>
      <c r="Q32" s="12"/>
    </row>
    <row r="33" spans="1:17" s="11" customFormat="1" ht="12" customHeight="1" x14ac:dyDescent="0.2">
      <c r="A33" s="12"/>
      <c r="B33" s="12"/>
      <c r="C33" s="12"/>
      <c r="D33" s="12"/>
      <c r="E33" s="12"/>
      <c r="F33" s="12"/>
      <c r="G33" s="12"/>
      <c r="H33" s="12"/>
      <c r="I33" s="12"/>
      <c r="J33" s="12"/>
      <c r="K33" s="12"/>
      <c r="L33" s="12"/>
      <c r="M33" s="12"/>
      <c r="N33" s="12"/>
      <c r="O33" s="12"/>
      <c r="P33" s="12"/>
      <c r="Q33" s="12"/>
    </row>
    <row r="34" spans="1:17" s="11" customFormat="1" x14ac:dyDescent="0.2">
      <c r="A34" s="12"/>
      <c r="B34" s="1151" t="s">
        <v>2343</v>
      </c>
      <c r="C34" s="12"/>
      <c r="D34" s="12"/>
      <c r="E34" s="12"/>
      <c r="F34" s="12"/>
      <c r="G34" s="12"/>
      <c r="H34" s="12"/>
      <c r="I34" s="12"/>
      <c r="J34" s="12"/>
      <c r="K34" s="12"/>
      <c r="L34" s="12"/>
      <c r="M34" s="12"/>
      <c r="N34" s="12"/>
      <c r="O34" s="12"/>
      <c r="P34" s="12"/>
      <c r="Q34" s="12"/>
    </row>
    <row r="35" spans="1:17" s="11" customFormat="1" ht="30" customHeight="1" x14ac:dyDescent="0.2">
      <c r="A35" s="12"/>
      <c r="B35" s="1926" t="s">
        <v>2344</v>
      </c>
      <c r="C35" s="1926"/>
      <c r="D35" s="1926"/>
      <c r="E35" s="1926"/>
      <c r="F35" s="1926"/>
      <c r="G35" s="1926"/>
      <c r="H35" s="1926"/>
      <c r="I35" s="1926"/>
      <c r="J35" s="1926"/>
      <c r="K35" s="1926"/>
      <c r="L35" s="1926"/>
      <c r="M35" s="1926"/>
      <c r="N35" s="1926"/>
      <c r="O35" s="1926"/>
      <c r="P35" s="1926"/>
      <c r="Q35" s="12"/>
    </row>
    <row r="36" spans="1:17" s="11" customFormat="1" ht="12" customHeight="1" x14ac:dyDescent="0.2">
      <c r="A36" s="12"/>
      <c r="B36" s="12"/>
      <c r="C36" s="12"/>
      <c r="D36" s="12"/>
      <c r="E36" s="12"/>
      <c r="F36" s="12"/>
      <c r="G36" s="12"/>
      <c r="H36" s="12"/>
      <c r="I36" s="12"/>
      <c r="J36" s="12"/>
      <c r="K36" s="12"/>
      <c r="L36" s="12"/>
      <c r="M36" s="12"/>
      <c r="N36" s="12"/>
      <c r="O36" s="12"/>
      <c r="P36" s="12"/>
      <c r="Q36" s="12"/>
    </row>
    <row r="37" spans="1:17" s="11" customFormat="1" x14ac:dyDescent="0.2">
      <c r="A37" s="12"/>
      <c r="B37" s="1151" t="s">
        <v>2298</v>
      </c>
      <c r="C37" s="12"/>
      <c r="D37" s="12"/>
      <c r="E37" s="12"/>
      <c r="F37" s="12"/>
      <c r="G37" s="12"/>
      <c r="H37" s="12"/>
      <c r="I37" s="12"/>
      <c r="J37" s="12"/>
      <c r="K37" s="12"/>
      <c r="L37" s="12"/>
      <c r="M37" s="12"/>
      <c r="N37" s="12"/>
      <c r="O37" s="12"/>
      <c r="P37" s="12"/>
      <c r="Q37" s="12"/>
    </row>
    <row r="38" spans="1:17" s="744" customFormat="1" ht="14.25" x14ac:dyDescent="0.25">
      <c r="A38" s="743"/>
      <c r="B38" s="743" t="s">
        <v>2299</v>
      </c>
      <c r="C38" s="257"/>
      <c r="D38" s="257"/>
      <c r="E38" s="257"/>
      <c r="F38" s="257"/>
      <c r="G38" s="257"/>
      <c r="H38" s="257"/>
      <c r="I38" s="257"/>
      <c r="J38" s="257"/>
      <c r="K38" s="257"/>
      <c r="L38" s="257"/>
      <c r="M38" s="257"/>
      <c r="N38" s="257"/>
      <c r="O38" s="257"/>
      <c r="P38" s="257"/>
      <c r="Q38" s="743"/>
    </row>
    <row r="39" spans="1:17" s="744" customFormat="1" ht="14.25" x14ac:dyDescent="0.25">
      <c r="A39" s="743"/>
      <c r="B39" s="743" t="s">
        <v>2118</v>
      </c>
      <c r="C39" s="257"/>
      <c r="D39" s="257"/>
      <c r="E39" s="257"/>
      <c r="F39" s="257"/>
      <c r="G39" s="257"/>
      <c r="H39" s="257"/>
      <c r="I39" s="257"/>
      <c r="J39" s="257"/>
      <c r="K39" s="257"/>
      <c r="L39" s="257"/>
      <c r="M39" s="257"/>
      <c r="N39" s="257"/>
      <c r="O39" s="257"/>
      <c r="P39" s="257"/>
      <c r="Q39" s="743"/>
    </row>
    <row r="40" spans="1:17" s="744" customFormat="1" ht="12" customHeight="1" x14ac:dyDescent="0.25">
      <c r="A40" s="743"/>
      <c r="B40" s="743"/>
      <c r="C40" s="257"/>
      <c r="D40" s="257"/>
      <c r="E40" s="257"/>
      <c r="F40" s="257"/>
      <c r="G40" s="257"/>
      <c r="H40" s="257"/>
      <c r="I40" s="257"/>
      <c r="J40" s="257"/>
      <c r="K40" s="257"/>
      <c r="L40" s="257"/>
      <c r="M40" s="257"/>
      <c r="N40" s="257"/>
      <c r="O40" s="257"/>
      <c r="P40" s="257"/>
      <c r="Q40" s="743"/>
    </row>
    <row r="41" spans="1:17" s="744" customFormat="1" x14ac:dyDescent="0.25">
      <c r="A41" s="743"/>
      <c r="B41" s="1151" t="s">
        <v>2802</v>
      </c>
      <c r="C41" s="1312"/>
      <c r="D41" s="1312"/>
      <c r="E41" s="1312"/>
      <c r="F41" s="1312"/>
      <c r="G41" s="1312"/>
      <c r="H41" s="1312"/>
      <c r="I41" s="1312"/>
      <c r="J41" s="1312"/>
      <c r="K41" s="1312"/>
      <c r="L41" s="1312"/>
      <c r="M41" s="1312"/>
      <c r="N41" s="1312"/>
      <c r="O41" s="1312"/>
      <c r="P41" s="1312"/>
      <c r="Q41" s="743"/>
    </row>
    <row r="42" spans="1:17" s="11" customFormat="1" ht="28.5" customHeight="1" x14ac:dyDescent="0.2">
      <c r="A42" s="12"/>
      <c r="B42" s="1926" t="s">
        <v>2803</v>
      </c>
      <c r="C42" s="1926"/>
      <c r="D42" s="1926"/>
      <c r="E42" s="1926"/>
      <c r="F42" s="1926"/>
      <c r="G42" s="1926"/>
      <c r="H42" s="1926"/>
      <c r="I42" s="1926"/>
      <c r="J42" s="1926"/>
      <c r="K42" s="1926"/>
      <c r="L42" s="1926"/>
      <c r="M42" s="1926"/>
      <c r="N42" s="1926"/>
      <c r="O42" s="1926"/>
      <c r="P42" s="1926"/>
      <c r="Q42" s="12"/>
    </row>
    <row r="43" spans="1:17" s="11" customFormat="1" ht="12" customHeight="1" x14ac:dyDescent="0.2">
      <c r="A43" s="12"/>
      <c r="B43" s="258"/>
      <c r="C43" s="12"/>
      <c r="D43" s="12"/>
      <c r="E43" s="12"/>
      <c r="F43" s="12"/>
      <c r="G43" s="12"/>
      <c r="H43" s="12"/>
      <c r="I43" s="12"/>
      <c r="J43" s="12"/>
      <c r="K43" s="12"/>
      <c r="L43" s="12"/>
      <c r="M43" s="12"/>
      <c r="N43" s="12"/>
      <c r="O43" s="12"/>
      <c r="P43" s="12"/>
      <c r="Q43" s="12"/>
    </row>
    <row r="44" spans="1:17" s="744" customFormat="1" x14ac:dyDescent="0.25">
      <c r="A44" s="743"/>
      <c r="B44" s="1151" t="s">
        <v>2300</v>
      </c>
      <c r="C44" s="1312"/>
      <c r="D44" s="1312"/>
      <c r="E44" s="1312"/>
      <c r="F44" s="1312"/>
      <c r="G44" s="1312"/>
      <c r="H44" s="1312"/>
      <c r="I44" s="1312"/>
      <c r="J44" s="1312"/>
      <c r="K44" s="1312"/>
      <c r="L44" s="1312"/>
      <c r="M44" s="1312"/>
      <c r="N44" s="1312"/>
      <c r="O44" s="1312"/>
      <c r="P44" s="1312"/>
      <c r="Q44" s="743"/>
    </row>
    <row r="45" spans="1:17" s="11" customFormat="1" ht="29.25" customHeight="1" x14ac:dyDescent="0.2">
      <c r="A45" s="12"/>
      <c r="B45" s="1926" t="s">
        <v>2804</v>
      </c>
      <c r="C45" s="1926"/>
      <c r="D45" s="1926"/>
      <c r="E45" s="1926"/>
      <c r="F45" s="1926"/>
      <c r="G45" s="1926"/>
      <c r="H45" s="1926"/>
      <c r="I45" s="1926"/>
      <c r="J45" s="1926"/>
      <c r="K45" s="1926"/>
      <c r="L45" s="1926"/>
      <c r="M45" s="1926"/>
      <c r="N45" s="1926"/>
      <c r="O45" s="1926"/>
      <c r="P45" s="1926"/>
      <c r="Q45" s="12"/>
    </row>
    <row r="46" spans="1:17" s="11" customFormat="1" ht="12" customHeight="1" x14ac:dyDescent="0.2">
      <c r="A46" s="12"/>
      <c r="B46" s="258"/>
      <c r="C46" s="12"/>
      <c r="D46" s="12"/>
      <c r="E46" s="12"/>
      <c r="F46" s="12"/>
      <c r="G46" s="12"/>
      <c r="H46" s="12"/>
      <c r="I46" s="12"/>
      <c r="J46" s="12"/>
      <c r="K46" s="12"/>
      <c r="L46" s="12"/>
      <c r="M46" s="12"/>
      <c r="N46" s="12"/>
      <c r="O46" s="12"/>
      <c r="P46" s="12"/>
      <c r="Q46" s="12"/>
    </row>
    <row r="47" spans="1:17" s="744" customFormat="1" x14ac:dyDescent="0.25">
      <c r="A47" s="743"/>
      <c r="B47" s="1151" t="s">
        <v>2300</v>
      </c>
      <c r="C47" s="257"/>
      <c r="D47" s="257"/>
      <c r="E47" s="257"/>
      <c r="F47" s="257"/>
      <c r="G47" s="257"/>
      <c r="H47" s="257"/>
      <c r="I47" s="257"/>
      <c r="J47" s="257"/>
      <c r="K47" s="257"/>
      <c r="L47" s="257"/>
      <c r="M47" s="257"/>
      <c r="N47" s="257"/>
      <c r="O47" s="257"/>
      <c r="P47" s="257"/>
      <c r="Q47" s="743"/>
    </row>
    <row r="48" spans="1:17" s="11" customFormat="1" ht="14.25" x14ac:dyDescent="0.2">
      <c r="A48" s="12"/>
      <c r="B48" s="258" t="s">
        <v>2301</v>
      </c>
      <c r="C48" s="12"/>
      <c r="D48" s="12"/>
      <c r="E48" s="12"/>
      <c r="F48" s="12"/>
      <c r="G48" s="12"/>
      <c r="H48" s="12"/>
      <c r="I48" s="12"/>
      <c r="J48" s="12"/>
      <c r="K48" s="12"/>
      <c r="L48" s="12"/>
      <c r="M48" s="12"/>
      <c r="N48" s="12"/>
      <c r="O48" s="12"/>
      <c r="P48" s="12"/>
      <c r="Q48" s="12"/>
    </row>
    <row r="49" spans="1:17" s="11" customFormat="1" ht="12" customHeight="1" x14ac:dyDescent="0.2">
      <c r="A49" s="12"/>
      <c r="B49" s="258"/>
      <c r="C49" s="12"/>
      <c r="D49" s="12"/>
      <c r="E49" s="12"/>
      <c r="F49" s="12"/>
      <c r="G49" s="12"/>
      <c r="H49" s="12"/>
      <c r="I49" s="12"/>
      <c r="J49" s="12"/>
      <c r="K49" s="12"/>
      <c r="L49" s="12"/>
      <c r="M49" s="12"/>
      <c r="N49" s="12"/>
      <c r="O49" s="12"/>
      <c r="P49" s="12"/>
      <c r="Q49" s="12"/>
    </row>
    <row r="50" spans="1:17" s="11" customFormat="1" x14ac:dyDescent="0.2">
      <c r="A50" s="12"/>
      <c r="B50" s="1151" t="s">
        <v>2345</v>
      </c>
      <c r="C50" s="12"/>
      <c r="D50" s="12"/>
      <c r="E50" s="12"/>
      <c r="F50" s="12"/>
      <c r="G50" s="12"/>
      <c r="H50" s="12"/>
      <c r="I50" s="12"/>
      <c r="J50" s="12"/>
      <c r="K50" s="12"/>
      <c r="L50" s="12"/>
      <c r="M50" s="12"/>
      <c r="N50" s="12"/>
      <c r="O50" s="12"/>
      <c r="P50" s="12"/>
      <c r="Q50" s="12"/>
    </row>
    <row r="51" spans="1:17" s="11" customFormat="1" ht="14.25" x14ac:dyDescent="0.2">
      <c r="A51" s="12"/>
      <c r="B51" s="258" t="s">
        <v>2346</v>
      </c>
      <c r="C51" s="12"/>
      <c r="D51" s="12"/>
      <c r="E51" s="12"/>
      <c r="F51" s="12"/>
      <c r="G51" s="12"/>
      <c r="H51" s="12"/>
      <c r="I51" s="12"/>
      <c r="J51" s="12"/>
      <c r="K51" s="12"/>
      <c r="L51" s="12"/>
      <c r="M51" s="12"/>
      <c r="N51" s="12"/>
      <c r="O51" s="12"/>
      <c r="P51" s="12"/>
      <c r="Q51" s="12"/>
    </row>
    <row r="52" spans="1:17" s="11" customFormat="1" ht="12" customHeight="1" x14ac:dyDescent="0.2">
      <c r="A52" s="12"/>
      <c r="B52" s="258"/>
      <c r="C52" s="12"/>
      <c r="D52" s="12"/>
      <c r="E52" s="12"/>
      <c r="F52" s="12"/>
      <c r="G52" s="12"/>
      <c r="H52" s="12"/>
      <c r="I52" s="12"/>
      <c r="J52" s="12"/>
      <c r="K52" s="12"/>
      <c r="L52" s="12"/>
      <c r="M52" s="12"/>
      <c r="N52" s="12"/>
      <c r="O52" s="12"/>
      <c r="P52" s="12"/>
      <c r="Q52" s="12"/>
    </row>
    <row r="53" spans="1:17" s="11" customFormat="1" x14ac:dyDescent="0.2">
      <c r="A53" s="12"/>
      <c r="B53" s="1151" t="s">
        <v>2302</v>
      </c>
      <c r="C53" s="743"/>
      <c r="D53" s="743"/>
      <c r="E53" s="743"/>
      <c r="F53" s="743"/>
      <c r="G53" s="743"/>
      <c r="H53" s="743"/>
      <c r="I53" s="743"/>
      <c r="J53" s="743"/>
      <c r="K53" s="743"/>
      <c r="L53" s="743"/>
      <c r="M53" s="743"/>
      <c r="N53" s="743"/>
      <c r="O53" s="743"/>
      <c r="P53" s="743"/>
      <c r="Q53" s="12"/>
    </row>
    <row r="54" spans="1:17" s="11" customFormat="1" ht="14.25" x14ac:dyDescent="0.2">
      <c r="A54" s="12"/>
      <c r="B54" s="258" t="s">
        <v>2303</v>
      </c>
      <c r="C54" s="12"/>
      <c r="D54" s="12"/>
      <c r="E54" s="12"/>
      <c r="F54" s="12"/>
      <c r="G54" s="12"/>
      <c r="H54" s="12"/>
      <c r="I54" s="12"/>
      <c r="J54" s="12"/>
      <c r="K54" s="12"/>
      <c r="L54" s="12"/>
      <c r="M54" s="12"/>
      <c r="N54" s="12"/>
      <c r="O54" s="12"/>
      <c r="P54" s="12"/>
      <c r="Q54" s="12"/>
    </row>
    <row r="55" spans="1:17" s="11" customFormat="1" ht="12" customHeight="1" x14ac:dyDescent="0.2">
      <c r="A55" s="12"/>
      <c r="B55" s="258"/>
      <c r="C55" s="12"/>
      <c r="D55" s="12"/>
      <c r="E55" s="12"/>
      <c r="F55" s="12"/>
      <c r="G55" s="12"/>
      <c r="H55" s="12"/>
      <c r="I55" s="12"/>
      <c r="J55" s="12"/>
      <c r="K55" s="12"/>
      <c r="L55" s="12"/>
      <c r="M55" s="12"/>
      <c r="N55" s="12"/>
      <c r="O55" s="12"/>
      <c r="P55" s="12"/>
      <c r="Q55" s="12"/>
    </row>
    <row r="56" spans="1:17" s="744" customFormat="1" x14ac:dyDescent="0.25">
      <c r="A56" s="743"/>
      <c r="B56" s="1151" t="s">
        <v>2304</v>
      </c>
      <c r="C56" s="257"/>
      <c r="D56" s="257"/>
      <c r="E56" s="257"/>
      <c r="F56" s="257"/>
      <c r="G56" s="257"/>
      <c r="H56" s="257"/>
      <c r="I56" s="257"/>
      <c r="J56" s="257"/>
      <c r="K56" s="257"/>
      <c r="L56" s="257"/>
      <c r="M56" s="257"/>
      <c r="N56" s="257"/>
      <c r="O56" s="257"/>
      <c r="P56" s="257"/>
      <c r="Q56" s="743"/>
    </row>
    <row r="57" spans="1:17" s="11" customFormat="1" ht="14.25" x14ac:dyDescent="0.2">
      <c r="A57" s="12"/>
      <c r="B57" s="743" t="s">
        <v>2305</v>
      </c>
      <c r="C57" s="12"/>
      <c r="D57" s="12"/>
      <c r="E57" s="12"/>
      <c r="F57" s="12"/>
      <c r="G57" s="12"/>
      <c r="H57" s="12"/>
      <c r="I57" s="12"/>
      <c r="J57" s="12"/>
      <c r="K57" s="12"/>
      <c r="L57" s="12"/>
      <c r="M57" s="12"/>
      <c r="N57" s="12"/>
      <c r="O57" s="12"/>
      <c r="P57" s="12"/>
      <c r="Q57" s="12"/>
    </row>
    <row r="58" spans="1:17" s="744" customFormat="1" ht="14.25" x14ac:dyDescent="0.25">
      <c r="A58" s="743"/>
      <c r="B58" s="743"/>
      <c r="C58" s="257"/>
      <c r="D58" s="257"/>
      <c r="E58" s="257"/>
      <c r="F58" s="257"/>
      <c r="G58" s="257"/>
      <c r="H58" s="257"/>
      <c r="I58" s="257"/>
      <c r="J58" s="257"/>
      <c r="K58" s="257"/>
      <c r="L58" s="257"/>
      <c r="M58" s="257"/>
      <c r="N58" s="257"/>
      <c r="O58" s="257"/>
      <c r="P58" s="257"/>
      <c r="Q58" s="743"/>
    </row>
    <row r="59" spans="1:17" s="11" customFormat="1" ht="15.75" customHeight="1" x14ac:dyDescent="0.2">
      <c r="A59" s="12"/>
      <c r="B59" s="743" t="s">
        <v>2121</v>
      </c>
      <c r="C59" s="12"/>
      <c r="D59" s="12"/>
      <c r="E59" s="12"/>
      <c r="F59" s="12"/>
      <c r="G59" s="12"/>
      <c r="H59" s="12"/>
      <c r="I59" s="12"/>
      <c r="J59" s="12"/>
      <c r="K59" s="12"/>
      <c r="L59" s="12"/>
      <c r="M59" s="12"/>
      <c r="N59" s="12"/>
      <c r="O59" s="12"/>
      <c r="P59" s="12"/>
      <c r="Q59" s="12"/>
    </row>
    <row r="60" spans="1:17" s="11" customFormat="1" ht="21" customHeight="1" x14ac:dyDescent="0.2">
      <c r="A60" s="12"/>
      <c r="B60" s="1923" t="s">
        <v>2122</v>
      </c>
      <c r="C60" s="1924"/>
      <c r="D60" s="1924"/>
      <c r="E60" s="1924"/>
      <c r="F60" s="1924"/>
      <c r="G60" s="1924"/>
      <c r="H60" s="1924"/>
      <c r="I60" s="1924"/>
      <c r="J60" s="1924"/>
      <c r="K60" s="1924"/>
      <c r="L60" s="1924"/>
      <c r="M60" s="1924"/>
      <c r="N60" s="1924"/>
      <c r="O60" s="1924"/>
      <c r="P60" s="1925"/>
      <c r="Q60" s="12"/>
    </row>
    <row r="61" spans="1:17" s="11" customFormat="1" ht="23.25" customHeight="1" x14ac:dyDescent="0.2">
      <c r="A61" s="12"/>
      <c r="B61" s="12"/>
      <c r="C61" s="12"/>
      <c r="D61" s="12"/>
      <c r="E61" s="12"/>
      <c r="F61" s="12"/>
      <c r="G61" s="12"/>
      <c r="H61" s="12"/>
      <c r="I61" s="12"/>
      <c r="J61" s="12"/>
      <c r="K61" s="12"/>
      <c r="L61" s="12"/>
      <c r="M61" s="12"/>
      <c r="N61" s="12"/>
      <c r="O61" s="12"/>
      <c r="P61" s="12"/>
      <c r="Q61" s="12"/>
    </row>
    <row r="62" spans="1:17" s="744" customFormat="1" ht="14.25" hidden="1" x14ac:dyDescent="0.25">
      <c r="A62" s="743"/>
      <c r="B62" s="257"/>
      <c r="C62" s="257"/>
      <c r="D62" s="257"/>
      <c r="E62" s="257"/>
      <c r="F62" s="257"/>
      <c r="G62" s="257"/>
      <c r="H62" s="257"/>
      <c r="I62" s="257"/>
      <c r="J62" s="257"/>
      <c r="K62" s="257"/>
      <c r="L62" s="257"/>
      <c r="M62" s="257"/>
      <c r="N62" s="257"/>
      <c r="O62" s="257"/>
      <c r="P62" s="257"/>
      <c r="Q62" s="743"/>
    </row>
    <row r="63" spans="1:17" s="11" customFormat="1" ht="14.25" hidden="1" x14ac:dyDescent="0.2">
      <c r="A63" s="12"/>
      <c r="B63" s="12"/>
      <c r="C63" s="12"/>
      <c r="D63" s="12"/>
      <c r="E63" s="12"/>
      <c r="F63" s="12"/>
      <c r="G63" s="12"/>
      <c r="H63" s="12"/>
      <c r="I63" s="12"/>
      <c r="J63" s="12"/>
      <c r="K63" s="12"/>
      <c r="L63" s="12"/>
      <c r="M63" s="12"/>
      <c r="N63" s="12"/>
      <c r="O63" s="12"/>
      <c r="P63" s="12"/>
      <c r="Q63" s="12"/>
    </row>
    <row r="64" spans="1:17" s="11" customFormat="1" ht="14.25" hidden="1" x14ac:dyDescent="0.2">
      <c r="A64" s="12"/>
      <c r="B64" s="743"/>
      <c r="C64" s="743"/>
      <c r="D64" s="743"/>
      <c r="E64" s="743"/>
      <c r="F64" s="743"/>
      <c r="G64" s="743"/>
      <c r="H64" s="743"/>
      <c r="I64" s="743"/>
      <c r="J64" s="743"/>
      <c r="K64" s="743"/>
      <c r="L64" s="743"/>
      <c r="M64" s="743"/>
      <c r="N64" s="743"/>
      <c r="O64" s="743"/>
      <c r="P64" s="743"/>
      <c r="Q64" s="12"/>
    </row>
    <row r="65" spans="1:17" s="11" customFormat="1" ht="14.25" hidden="1" x14ac:dyDescent="0.2">
      <c r="A65" s="12"/>
      <c r="B65" s="12"/>
      <c r="C65" s="12"/>
      <c r="D65" s="12"/>
      <c r="E65" s="12"/>
      <c r="F65" s="12"/>
      <c r="G65" s="12"/>
      <c r="H65" s="12"/>
      <c r="I65" s="12"/>
      <c r="J65" s="12"/>
      <c r="K65" s="12"/>
      <c r="L65" s="12"/>
      <c r="M65" s="12"/>
      <c r="N65" s="12"/>
      <c r="O65" s="12"/>
      <c r="P65" s="12"/>
      <c r="Q65" s="12"/>
    </row>
    <row r="66" spans="1:17" s="11" customFormat="1" ht="14.25" hidden="1" x14ac:dyDescent="0.2">
      <c r="A66" s="12"/>
      <c r="B66" s="743"/>
      <c r="C66" s="743"/>
      <c r="D66" s="743"/>
      <c r="E66" s="743"/>
      <c r="F66" s="743"/>
      <c r="G66" s="743"/>
      <c r="H66" s="743"/>
      <c r="I66" s="743"/>
      <c r="J66" s="743"/>
      <c r="K66" s="743"/>
      <c r="L66" s="743"/>
      <c r="M66" s="743"/>
      <c r="N66" s="743"/>
      <c r="O66" s="743"/>
      <c r="P66" s="743"/>
      <c r="Q66" s="12"/>
    </row>
    <row r="67" spans="1:17" s="11" customFormat="1" ht="14.25" hidden="1" x14ac:dyDescent="0.2">
      <c r="A67" s="12"/>
      <c r="B67" s="12"/>
      <c r="C67" s="12"/>
      <c r="D67" s="12"/>
      <c r="E67" s="12"/>
      <c r="F67" s="12"/>
      <c r="G67" s="12"/>
      <c r="H67" s="12"/>
      <c r="I67" s="12"/>
      <c r="J67" s="12"/>
      <c r="K67" s="12"/>
      <c r="L67" s="12"/>
      <c r="M67" s="12"/>
      <c r="N67" s="12"/>
      <c r="O67" s="12"/>
      <c r="P67" s="12"/>
      <c r="Q67" s="12"/>
    </row>
    <row r="68" spans="1:17" s="11" customFormat="1" ht="14.25" hidden="1" x14ac:dyDescent="0.2">
      <c r="A68" s="12"/>
      <c r="B68" s="743"/>
      <c r="C68" s="743"/>
      <c r="D68" s="743"/>
      <c r="E68" s="743"/>
      <c r="F68" s="743"/>
      <c r="G68" s="743"/>
      <c r="H68" s="743"/>
      <c r="I68" s="743"/>
      <c r="J68" s="743"/>
      <c r="K68" s="743"/>
      <c r="L68" s="743"/>
      <c r="M68" s="743"/>
      <c r="N68" s="743"/>
      <c r="O68" s="743"/>
      <c r="P68" s="743"/>
      <c r="Q68" s="12"/>
    </row>
    <row r="69" spans="1:17" s="11" customFormat="1" ht="14.25" hidden="1" x14ac:dyDescent="0.2">
      <c r="A69" s="12"/>
      <c r="B69" s="12"/>
      <c r="C69" s="12"/>
      <c r="D69" s="12"/>
      <c r="E69" s="12"/>
      <c r="F69" s="12"/>
      <c r="G69" s="12"/>
      <c r="H69" s="12"/>
      <c r="I69" s="12"/>
      <c r="J69" s="12"/>
      <c r="K69" s="12"/>
      <c r="L69" s="12"/>
      <c r="M69" s="12"/>
      <c r="N69" s="12"/>
      <c r="O69" s="12"/>
      <c r="P69" s="12"/>
      <c r="Q69" s="12"/>
    </row>
    <row r="70" spans="1:17" s="11" customFormat="1" ht="14.25" hidden="1" x14ac:dyDescent="0.2">
      <c r="A70" s="12"/>
      <c r="B70" s="12"/>
      <c r="C70" s="12"/>
      <c r="D70" s="12"/>
      <c r="E70" s="12"/>
      <c r="F70" s="12"/>
      <c r="G70" s="12"/>
      <c r="H70" s="12"/>
      <c r="I70" s="12"/>
      <c r="J70" s="12"/>
      <c r="K70" s="12"/>
      <c r="L70" s="12"/>
      <c r="M70" s="12"/>
      <c r="N70" s="12"/>
      <c r="O70" s="12"/>
      <c r="P70" s="12"/>
      <c r="Q70" s="12"/>
    </row>
    <row r="71" spans="1:17" s="11" customFormat="1" ht="14.25" hidden="1" x14ac:dyDescent="0.2">
      <c r="A71" s="12"/>
      <c r="B71" s="257"/>
      <c r="C71" s="257"/>
      <c r="D71" s="257"/>
      <c r="E71" s="257"/>
      <c r="F71" s="257"/>
      <c r="G71" s="257"/>
      <c r="H71" s="257"/>
      <c r="I71" s="257"/>
      <c r="J71" s="257"/>
      <c r="K71" s="257"/>
      <c r="L71" s="257"/>
      <c r="M71" s="257"/>
      <c r="N71" s="257"/>
      <c r="O71" s="257"/>
      <c r="P71" s="257"/>
      <c r="Q71" s="12"/>
    </row>
    <row r="72" spans="1:17" s="744" customFormat="1" ht="14.25" hidden="1" x14ac:dyDescent="0.25">
      <c r="A72" s="743"/>
      <c r="B72" s="257"/>
      <c r="C72" s="257"/>
      <c r="D72" s="257"/>
      <c r="E72" s="257"/>
      <c r="F72" s="257"/>
      <c r="G72" s="257"/>
      <c r="H72" s="257"/>
      <c r="I72" s="257"/>
      <c r="J72" s="257"/>
      <c r="K72" s="257"/>
      <c r="L72" s="257"/>
      <c r="M72" s="257"/>
      <c r="N72" s="257"/>
      <c r="O72" s="257"/>
      <c r="P72" s="257"/>
      <c r="Q72" s="743"/>
    </row>
    <row r="73" spans="1:17" s="11" customFormat="1" ht="14.25" hidden="1" x14ac:dyDescent="0.2">
      <c r="A73" s="12"/>
      <c r="B73" s="257"/>
      <c r="C73" s="257"/>
      <c r="D73" s="257"/>
      <c r="E73" s="257"/>
      <c r="F73" s="257"/>
      <c r="G73" s="257"/>
      <c r="H73" s="257"/>
      <c r="I73" s="257"/>
      <c r="J73" s="257"/>
      <c r="K73" s="257"/>
      <c r="L73" s="257"/>
      <c r="M73" s="257"/>
      <c r="N73" s="257"/>
      <c r="O73" s="257"/>
      <c r="P73" s="257"/>
      <c r="Q73" s="12"/>
    </row>
    <row r="74" spans="1:17" s="11" customFormat="1" ht="14.25" hidden="1" x14ac:dyDescent="0.2">
      <c r="A74" s="12"/>
      <c r="B74" s="257"/>
      <c r="C74" s="257"/>
      <c r="D74" s="257"/>
      <c r="E74" s="257"/>
      <c r="F74" s="257"/>
      <c r="G74" s="257"/>
      <c r="H74" s="257"/>
      <c r="I74" s="257"/>
      <c r="J74" s="257"/>
      <c r="K74" s="257"/>
      <c r="L74" s="257"/>
      <c r="M74" s="257"/>
      <c r="N74" s="257"/>
      <c r="O74" s="257"/>
      <c r="P74" s="257"/>
      <c r="Q74" s="12"/>
    </row>
    <row r="75" spans="1:17" s="11" customFormat="1" ht="14.25" hidden="1" x14ac:dyDescent="0.2">
      <c r="A75" s="12"/>
      <c r="B75" s="257"/>
      <c r="C75" s="257"/>
      <c r="D75" s="257"/>
      <c r="E75" s="257"/>
      <c r="F75" s="257"/>
      <c r="G75" s="257"/>
      <c r="H75" s="257"/>
      <c r="I75" s="257"/>
      <c r="J75" s="257"/>
      <c r="K75" s="257"/>
      <c r="L75" s="257"/>
      <c r="M75" s="257"/>
      <c r="N75" s="257"/>
      <c r="O75" s="257"/>
      <c r="P75" s="257"/>
      <c r="Q75" s="12"/>
    </row>
    <row r="76" spans="1:17" s="11" customFormat="1" ht="14.25" hidden="1" x14ac:dyDescent="0.2">
      <c r="A76" s="12"/>
      <c r="B76" s="257"/>
      <c r="C76" s="257"/>
      <c r="D76" s="257"/>
      <c r="E76" s="257"/>
      <c r="F76" s="257"/>
      <c r="G76" s="257"/>
      <c r="H76" s="257"/>
      <c r="I76" s="257"/>
      <c r="J76" s="257"/>
      <c r="K76" s="257"/>
      <c r="L76" s="257"/>
      <c r="M76" s="257"/>
      <c r="N76" s="257"/>
      <c r="O76" s="257"/>
      <c r="P76" s="257"/>
      <c r="Q76" s="12"/>
    </row>
    <row r="77" spans="1:17" s="11" customFormat="1" ht="14.25" hidden="1" x14ac:dyDescent="0.2">
      <c r="A77" s="12"/>
      <c r="B77" s="257"/>
      <c r="C77" s="257"/>
      <c r="D77" s="257"/>
      <c r="E77" s="257"/>
      <c r="F77" s="257"/>
      <c r="G77" s="257"/>
      <c r="H77" s="257"/>
      <c r="I77" s="257"/>
      <c r="J77" s="257"/>
      <c r="K77" s="257"/>
      <c r="L77" s="257"/>
      <c r="M77" s="257"/>
      <c r="N77" s="257"/>
      <c r="O77" s="257"/>
      <c r="P77" s="257"/>
      <c r="Q77" s="12"/>
    </row>
    <row r="78" spans="1:17" s="11" customFormat="1" ht="14.25" hidden="1" x14ac:dyDescent="0.2">
      <c r="A78" s="12"/>
      <c r="B78" s="12"/>
      <c r="C78" s="12"/>
      <c r="D78" s="12"/>
      <c r="E78" s="12"/>
      <c r="F78" s="12"/>
      <c r="G78" s="12"/>
      <c r="H78" s="12"/>
      <c r="I78" s="12"/>
      <c r="J78" s="12"/>
      <c r="K78" s="12"/>
      <c r="L78" s="12"/>
      <c r="M78" s="12"/>
      <c r="N78" s="12"/>
      <c r="O78" s="12"/>
      <c r="P78" s="12"/>
      <c r="Q78" s="12"/>
    </row>
    <row r="79" spans="1:17" s="744" customFormat="1" ht="14.25" hidden="1" x14ac:dyDescent="0.25">
      <c r="A79" s="743"/>
      <c r="B79" s="257"/>
      <c r="C79" s="257"/>
      <c r="D79" s="257"/>
      <c r="E79" s="257"/>
      <c r="F79" s="257"/>
      <c r="G79" s="257"/>
      <c r="H79" s="257"/>
      <c r="I79" s="257"/>
      <c r="J79" s="257"/>
      <c r="K79" s="257"/>
      <c r="L79" s="257"/>
      <c r="M79" s="257"/>
      <c r="N79" s="257"/>
      <c r="O79" s="257"/>
      <c r="P79" s="257"/>
      <c r="Q79" s="743"/>
    </row>
    <row r="80" spans="1:17" s="11" customFormat="1" ht="14.25" hidden="1" x14ac:dyDescent="0.2">
      <c r="A80" s="12"/>
      <c r="B80" s="743"/>
      <c r="C80" s="743"/>
      <c r="D80" s="743"/>
      <c r="E80" s="743"/>
      <c r="F80" s="743"/>
      <c r="G80" s="743"/>
      <c r="H80" s="743"/>
      <c r="I80" s="743"/>
      <c r="J80" s="743"/>
      <c r="K80" s="743"/>
      <c r="L80" s="743"/>
      <c r="M80" s="743"/>
      <c r="N80" s="743"/>
      <c r="O80" s="743"/>
      <c r="P80" s="743"/>
      <c r="Q80" s="12"/>
    </row>
    <row r="81" spans="1:17" s="744" customFormat="1" ht="27" hidden="1" customHeight="1" x14ac:dyDescent="0.25">
      <c r="A81" s="743"/>
      <c r="B81" s="257"/>
      <c r="C81" s="257"/>
      <c r="D81" s="257"/>
      <c r="E81" s="257"/>
      <c r="F81" s="257"/>
      <c r="G81" s="257"/>
      <c r="H81" s="257"/>
      <c r="I81" s="257"/>
      <c r="J81" s="257"/>
      <c r="K81" s="257"/>
      <c r="L81" s="257"/>
      <c r="M81" s="257"/>
      <c r="N81" s="257"/>
      <c r="O81" s="257"/>
      <c r="P81" s="257"/>
      <c r="Q81" s="743"/>
    </row>
    <row r="82" spans="1:17" s="11" customFormat="1" ht="12" hidden="1" customHeight="1" x14ac:dyDescent="0.2">
      <c r="A82" s="12"/>
      <c r="B82" s="743"/>
      <c r="C82" s="743"/>
      <c r="D82" s="743"/>
      <c r="E82" s="743"/>
      <c r="F82" s="743"/>
      <c r="G82" s="743"/>
      <c r="H82" s="743"/>
      <c r="I82" s="743"/>
      <c r="J82" s="743"/>
      <c r="K82" s="743"/>
      <c r="L82" s="743"/>
      <c r="M82" s="743"/>
      <c r="N82" s="743"/>
      <c r="O82" s="743"/>
      <c r="P82" s="743"/>
      <c r="Q82" s="12"/>
    </row>
    <row r="83" spans="1:17" s="11" customFormat="1" ht="14.25" hidden="1" x14ac:dyDescent="0.2">
      <c r="A83" s="12"/>
      <c r="B83" s="257"/>
      <c r="C83" s="257"/>
      <c r="D83" s="257"/>
      <c r="E83" s="257"/>
      <c r="F83" s="257"/>
      <c r="G83" s="257"/>
      <c r="H83" s="257"/>
      <c r="I83" s="257"/>
      <c r="J83" s="257"/>
      <c r="K83" s="257"/>
      <c r="L83" s="257"/>
      <c r="M83" s="257"/>
      <c r="N83" s="257"/>
      <c r="O83" s="257"/>
      <c r="P83" s="257"/>
      <c r="Q83" s="12"/>
    </row>
    <row r="84" spans="1:17" s="11" customFormat="1" ht="12" hidden="1" customHeight="1" x14ac:dyDescent="0.2">
      <c r="A84" s="12"/>
      <c r="B84" s="743"/>
      <c r="C84" s="743"/>
      <c r="D84" s="743"/>
      <c r="E84" s="743"/>
      <c r="F84" s="743"/>
      <c r="G84" s="743"/>
      <c r="H84" s="743"/>
      <c r="I84" s="743"/>
      <c r="J84" s="743"/>
      <c r="K84" s="743"/>
      <c r="L84" s="743"/>
      <c r="M84" s="743"/>
      <c r="N84" s="743"/>
      <c r="O84" s="743"/>
      <c r="P84" s="743"/>
      <c r="Q84" s="12"/>
    </row>
    <row r="85" spans="1:17" s="744" customFormat="1" ht="51" hidden="1" customHeight="1" x14ac:dyDescent="0.25">
      <c r="A85" s="743"/>
      <c r="B85" s="257"/>
      <c r="C85" s="257"/>
      <c r="D85" s="257"/>
      <c r="E85" s="257"/>
      <c r="F85" s="257"/>
      <c r="G85" s="257"/>
      <c r="H85" s="257"/>
      <c r="I85" s="257"/>
      <c r="J85" s="257"/>
      <c r="K85" s="257"/>
      <c r="L85" s="257"/>
      <c r="M85" s="257"/>
      <c r="N85" s="257"/>
      <c r="O85" s="257"/>
      <c r="P85" s="257"/>
      <c r="Q85" s="743"/>
    </row>
    <row r="86" spans="1:17" s="11" customFormat="1" ht="12" hidden="1" customHeight="1" x14ac:dyDescent="0.2">
      <c r="A86" s="12"/>
      <c r="B86" s="743"/>
      <c r="C86" s="743"/>
      <c r="D86" s="743"/>
      <c r="E86" s="743"/>
      <c r="F86" s="743"/>
      <c r="G86" s="743"/>
      <c r="H86" s="743"/>
      <c r="I86" s="743"/>
      <c r="J86" s="743"/>
      <c r="K86" s="743"/>
      <c r="L86" s="743"/>
      <c r="M86" s="743"/>
      <c r="N86" s="743"/>
      <c r="O86" s="743"/>
      <c r="P86" s="743"/>
      <c r="Q86" s="12"/>
    </row>
    <row r="87" spans="1:17" s="11" customFormat="1" ht="42" hidden="1" customHeight="1" x14ac:dyDescent="0.2">
      <c r="A87" s="12"/>
      <c r="B87" s="257"/>
      <c r="C87" s="257"/>
      <c r="D87" s="257"/>
      <c r="E87" s="257"/>
      <c r="F87" s="257"/>
      <c r="G87" s="257"/>
      <c r="H87" s="257"/>
      <c r="I87" s="257"/>
      <c r="J87" s="257"/>
      <c r="K87" s="257"/>
      <c r="L87" s="257"/>
      <c r="M87" s="257"/>
      <c r="N87" s="257"/>
      <c r="O87" s="257"/>
      <c r="P87" s="257"/>
      <c r="Q87" s="12"/>
    </row>
    <row r="88" spans="1:17" s="11" customFormat="1" ht="12" hidden="1" customHeight="1" x14ac:dyDescent="0.2">
      <c r="A88" s="12"/>
      <c r="B88" s="743"/>
      <c r="C88" s="743"/>
      <c r="D88" s="743"/>
      <c r="E88" s="743"/>
      <c r="F88" s="743"/>
      <c r="G88" s="743"/>
      <c r="H88" s="743"/>
      <c r="I88" s="743"/>
      <c r="J88" s="743"/>
      <c r="K88" s="743"/>
      <c r="L88" s="743"/>
      <c r="M88" s="743"/>
      <c r="N88" s="743"/>
      <c r="O88" s="743"/>
      <c r="P88" s="743"/>
      <c r="Q88" s="12"/>
    </row>
    <row r="89" spans="1:17" s="11" customFormat="1" ht="42" hidden="1" customHeight="1" x14ac:dyDescent="0.2">
      <c r="A89" s="12"/>
      <c r="B89" s="257"/>
      <c r="C89" s="257"/>
      <c r="D89" s="257"/>
      <c r="E89" s="257"/>
      <c r="F89" s="257"/>
      <c r="G89" s="257"/>
      <c r="H89" s="257"/>
      <c r="I89" s="257"/>
      <c r="J89" s="257"/>
      <c r="K89" s="257"/>
      <c r="L89" s="257"/>
      <c r="M89" s="257"/>
      <c r="N89" s="257"/>
      <c r="O89" s="257"/>
      <c r="P89" s="257"/>
      <c r="Q89" s="12"/>
    </row>
    <row r="90" spans="1:17" s="11" customFormat="1" ht="12" hidden="1" customHeight="1" x14ac:dyDescent="0.2">
      <c r="A90" s="12"/>
      <c r="B90" s="743"/>
      <c r="C90" s="743"/>
      <c r="D90" s="743"/>
      <c r="E90" s="743"/>
      <c r="F90" s="743"/>
      <c r="G90" s="743"/>
      <c r="H90" s="743"/>
      <c r="I90" s="743"/>
      <c r="J90" s="743"/>
      <c r="K90" s="743"/>
      <c r="L90" s="743"/>
      <c r="M90" s="743"/>
      <c r="N90" s="743"/>
      <c r="O90" s="743"/>
      <c r="P90" s="743"/>
      <c r="Q90" s="12"/>
    </row>
    <row r="91" spans="1:17" s="11" customFormat="1" ht="15" hidden="1" customHeight="1" x14ac:dyDescent="0.2">
      <c r="A91" s="12"/>
      <c r="B91" s="257"/>
      <c r="C91" s="257"/>
      <c r="D91" s="257"/>
      <c r="E91" s="257"/>
      <c r="F91" s="257"/>
      <c r="G91" s="257"/>
      <c r="H91" s="257"/>
      <c r="I91" s="257"/>
      <c r="J91" s="257"/>
      <c r="K91" s="257"/>
      <c r="L91" s="257"/>
      <c r="M91" s="257"/>
      <c r="N91" s="257"/>
      <c r="O91" s="257"/>
      <c r="P91" s="257"/>
      <c r="Q91" s="12"/>
    </row>
    <row r="92" spans="1:17" s="11" customFormat="1" ht="12" hidden="1" customHeight="1" x14ac:dyDescent="0.2">
      <c r="A92" s="12"/>
      <c r="B92" s="743"/>
      <c r="C92" s="743"/>
      <c r="D92" s="743"/>
      <c r="E92" s="743"/>
      <c r="F92" s="743"/>
      <c r="G92" s="743"/>
      <c r="H92" s="743"/>
      <c r="I92" s="743"/>
      <c r="J92" s="743"/>
      <c r="K92" s="743"/>
      <c r="L92" s="743"/>
      <c r="M92" s="743"/>
      <c r="N92" s="743"/>
      <c r="O92" s="743"/>
      <c r="P92" s="743"/>
      <c r="Q92" s="12"/>
    </row>
    <row r="93" spans="1:17" s="11" customFormat="1" ht="12" hidden="1" customHeight="1" x14ac:dyDescent="0.2">
      <c r="A93" s="12"/>
      <c r="B93" s="257"/>
      <c r="C93" s="257"/>
      <c r="D93" s="257"/>
      <c r="E93" s="257"/>
      <c r="F93" s="257"/>
      <c r="G93" s="257"/>
      <c r="H93" s="257"/>
      <c r="I93" s="257"/>
      <c r="J93" s="257"/>
      <c r="K93" s="257"/>
      <c r="L93" s="257"/>
      <c r="M93" s="257"/>
      <c r="N93" s="257"/>
      <c r="O93" s="257"/>
      <c r="P93" s="257"/>
      <c r="Q93" s="12"/>
    </row>
    <row r="94" spans="1:17" s="11" customFormat="1" ht="12" hidden="1" customHeight="1" x14ac:dyDescent="0.2">
      <c r="A94" s="12"/>
      <c r="B94" s="743"/>
      <c r="C94" s="743"/>
      <c r="D94" s="743"/>
      <c r="E94" s="743"/>
      <c r="F94" s="743"/>
      <c r="G94" s="743"/>
      <c r="H94" s="743"/>
      <c r="I94" s="743"/>
      <c r="J94" s="743"/>
      <c r="K94" s="743"/>
      <c r="L94" s="743"/>
      <c r="M94" s="743"/>
      <c r="N94" s="743"/>
      <c r="O94" s="743"/>
      <c r="P94" s="743"/>
      <c r="Q94" s="12"/>
    </row>
    <row r="95" spans="1:17" s="744" customFormat="1" ht="27" hidden="1" customHeight="1" x14ac:dyDescent="0.25">
      <c r="A95" s="743"/>
      <c r="B95" s="257"/>
      <c r="C95" s="257"/>
      <c r="D95" s="257"/>
      <c r="E95" s="257"/>
      <c r="F95" s="257"/>
      <c r="G95" s="257"/>
      <c r="H95" s="257"/>
      <c r="I95" s="257"/>
      <c r="J95" s="257"/>
      <c r="K95" s="257"/>
      <c r="L95" s="257"/>
      <c r="M95" s="257"/>
      <c r="N95" s="257"/>
      <c r="O95" s="257"/>
      <c r="P95" s="257"/>
      <c r="Q95" s="743"/>
    </row>
    <row r="96" spans="1:17" s="11" customFormat="1" ht="12" hidden="1" customHeight="1" x14ac:dyDescent="0.2">
      <c r="A96" s="12"/>
      <c r="B96" s="743"/>
      <c r="C96" s="743"/>
      <c r="D96" s="743"/>
      <c r="E96" s="743"/>
      <c r="F96" s="743"/>
      <c r="G96" s="743"/>
      <c r="H96" s="743"/>
      <c r="I96" s="743"/>
      <c r="J96" s="743"/>
      <c r="K96" s="743"/>
      <c r="L96" s="743"/>
      <c r="M96" s="743"/>
      <c r="N96" s="743"/>
      <c r="O96" s="743"/>
      <c r="P96" s="743"/>
      <c r="Q96" s="12"/>
    </row>
    <row r="97" spans="1:17" s="11" customFormat="1" ht="15" hidden="1" customHeight="1" x14ac:dyDescent="0.2">
      <c r="A97" s="12"/>
      <c r="B97" s="743"/>
      <c r="C97" s="743"/>
      <c r="D97" s="743"/>
      <c r="E97" s="743"/>
      <c r="F97" s="743"/>
      <c r="G97" s="743"/>
      <c r="H97" s="743"/>
      <c r="I97" s="743"/>
      <c r="J97" s="743"/>
      <c r="K97" s="743"/>
      <c r="L97" s="743"/>
      <c r="M97" s="743"/>
      <c r="N97" s="743"/>
      <c r="O97" s="743"/>
      <c r="P97" s="743"/>
      <c r="Q97" s="12"/>
    </row>
    <row r="98" spans="1:17" s="11" customFormat="1" ht="12" hidden="1" customHeight="1" x14ac:dyDescent="0.2">
      <c r="A98" s="12"/>
      <c r="B98" s="743"/>
      <c r="C98" s="743"/>
      <c r="D98" s="743"/>
      <c r="E98" s="743"/>
      <c r="F98" s="743"/>
      <c r="G98" s="743"/>
      <c r="H98" s="743"/>
      <c r="I98" s="743"/>
      <c r="J98" s="743"/>
      <c r="K98" s="743"/>
      <c r="L98" s="743"/>
      <c r="M98" s="743"/>
      <c r="N98" s="743"/>
      <c r="O98" s="743"/>
      <c r="P98" s="743"/>
      <c r="Q98" s="12"/>
    </row>
    <row r="99" spans="1:17" s="11" customFormat="1" ht="27" hidden="1" customHeight="1" x14ac:dyDescent="0.2">
      <c r="A99" s="12"/>
      <c r="B99" s="1156"/>
      <c r="C99" s="1156"/>
      <c r="D99" s="1156"/>
      <c r="E99" s="1156"/>
      <c r="F99" s="1156"/>
      <c r="G99" s="1156"/>
      <c r="H99" s="1156"/>
      <c r="I99" s="1156"/>
      <c r="J99" s="1156"/>
      <c r="K99" s="1156"/>
      <c r="L99" s="1156"/>
      <c r="M99" s="1156"/>
      <c r="N99" s="1156"/>
      <c r="O99" s="1156"/>
      <c r="P99" s="1156"/>
      <c r="Q99" s="12"/>
    </row>
    <row r="100" spans="1:17" s="11" customFormat="1" ht="12" hidden="1" customHeight="1" x14ac:dyDescent="0.2">
      <c r="A100" s="12"/>
      <c r="B100" s="743"/>
      <c r="C100" s="743"/>
      <c r="D100" s="743"/>
      <c r="E100" s="743"/>
      <c r="F100" s="743"/>
      <c r="G100" s="743"/>
      <c r="H100" s="743"/>
      <c r="I100" s="743"/>
      <c r="J100" s="743"/>
      <c r="K100" s="743"/>
      <c r="L100" s="743"/>
      <c r="M100" s="743"/>
      <c r="N100" s="743"/>
      <c r="O100" s="743"/>
      <c r="P100" s="743"/>
      <c r="Q100" s="12"/>
    </row>
    <row r="101" spans="1:17" s="11" customFormat="1" ht="27" hidden="1" customHeight="1" x14ac:dyDescent="0.2">
      <c r="A101" s="12"/>
      <c r="B101" s="1156"/>
      <c r="C101" s="1156"/>
      <c r="D101" s="1156"/>
      <c r="E101" s="1156"/>
      <c r="F101" s="1156"/>
      <c r="G101" s="1156"/>
      <c r="H101" s="1156"/>
      <c r="I101" s="1156"/>
      <c r="J101" s="1156"/>
      <c r="K101" s="1156"/>
      <c r="L101" s="1156"/>
      <c r="M101" s="1156"/>
      <c r="N101" s="1156"/>
      <c r="O101" s="1156"/>
      <c r="P101" s="1156"/>
      <c r="Q101" s="12"/>
    </row>
    <row r="102" spans="1:17" s="11" customFormat="1" ht="12" hidden="1" customHeight="1" x14ac:dyDescent="0.2">
      <c r="A102" s="12"/>
      <c r="B102" s="743"/>
      <c r="C102" s="743"/>
      <c r="D102" s="743"/>
      <c r="E102" s="743"/>
      <c r="F102" s="743"/>
      <c r="G102" s="743"/>
      <c r="H102" s="743"/>
      <c r="I102" s="743"/>
      <c r="J102" s="743"/>
      <c r="K102" s="743"/>
      <c r="L102" s="743"/>
      <c r="M102" s="743"/>
      <c r="N102" s="743"/>
      <c r="O102" s="743"/>
      <c r="P102" s="743"/>
      <c r="Q102" s="12"/>
    </row>
    <row r="103" spans="1:17" s="744" customFormat="1" ht="27" hidden="1" customHeight="1" x14ac:dyDescent="0.25">
      <c r="A103" s="743"/>
      <c r="B103" s="257"/>
      <c r="C103" s="257"/>
      <c r="D103" s="257"/>
      <c r="E103" s="257"/>
      <c r="F103" s="257"/>
      <c r="G103" s="257"/>
      <c r="H103" s="257"/>
      <c r="I103" s="257"/>
      <c r="J103" s="257"/>
      <c r="K103" s="257"/>
      <c r="L103" s="257"/>
      <c r="M103" s="257"/>
      <c r="N103" s="257"/>
      <c r="O103" s="257"/>
      <c r="P103" s="257"/>
      <c r="Q103" s="743"/>
    </row>
    <row r="104" spans="1:17" s="11" customFormat="1" ht="12" hidden="1" customHeight="1" x14ac:dyDescent="0.2">
      <c r="A104" s="12"/>
      <c r="B104" s="743"/>
      <c r="C104" s="743"/>
      <c r="D104" s="743"/>
      <c r="E104" s="743"/>
      <c r="F104" s="743"/>
      <c r="G104" s="743"/>
      <c r="H104" s="743"/>
      <c r="I104" s="743"/>
      <c r="J104" s="743"/>
      <c r="K104" s="743"/>
      <c r="L104" s="743"/>
      <c r="M104" s="743"/>
      <c r="N104" s="743"/>
      <c r="O104" s="743"/>
      <c r="P104" s="743"/>
      <c r="Q104" s="12"/>
    </row>
    <row r="105" spans="1:17" s="11" customFormat="1" ht="15" hidden="1" customHeight="1" x14ac:dyDescent="0.2">
      <c r="A105" s="12"/>
      <c r="B105" s="743"/>
      <c r="C105" s="743"/>
      <c r="D105" s="743"/>
      <c r="E105" s="743"/>
      <c r="F105" s="743"/>
      <c r="G105" s="743"/>
      <c r="H105" s="743"/>
      <c r="I105" s="743"/>
      <c r="J105" s="743"/>
      <c r="K105" s="743"/>
      <c r="L105" s="743"/>
      <c r="M105" s="743"/>
      <c r="N105" s="743"/>
      <c r="O105" s="743"/>
      <c r="P105" s="743"/>
      <c r="Q105" s="12"/>
    </row>
    <row r="106" spans="1:17" s="11" customFormat="1" ht="15" hidden="1" customHeight="1" x14ac:dyDescent="0.2">
      <c r="A106" s="224"/>
      <c r="B106" s="224"/>
      <c r="C106" s="224"/>
      <c r="D106" s="224"/>
      <c r="E106" s="224"/>
      <c r="F106" s="224"/>
      <c r="G106" s="224"/>
      <c r="H106" s="224"/>
      <c r="I106" s="224"/>
      <c r="J106" s="224"/>
      <c r="K106" s="224"/>
      <c r="L106" s="224"/>
      <c r="M106" s="224"/>
      <c r="N106" s="224"/>
      <c r="O106" s="224"/>
      <c r="P106" s="224"/>
      <c r="Q106" s="224"/>
    </row>
    <row r="107" spans="1:17" ht="15" hidden="1" customHeight="1" x14ac:dyDescent="0.25"/>
    <row r="108" spans="1:17" ht="15" hidden="1" customHeight="1" x14ac:dyDescent="0.25"/>
    <row r="109" spans="1:17" ht="15" hidden="1" customHeight="1" x14ac:dyDescent="0.25"/>
    <row r="110" spans="1:17" ht="15" hidden="1" customHeight="1" x14ac:dyDescent="0.25"/>
    <row r="111" spans="1:17" ht="15" hidden="1" customHeight="1" x14ac:dyDescent="0.25"/>
    <row r="112" spans="1:17"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sheetData>
  <sheetProtection algorithmName="SHA-512" hashValue="K0EdIDvcRRkGxBk4FdPWuCUgnsloW6XUph7UdVI0iT+QRdYH6N42NeEzrVrYa2ykL6Mi24hniGZ7ga0uhyjkdg==" saltValue="jqENB1CiHk/hSOP2/wtTXg==" spinCount="100000" sheet="1" objects="1" scenarios="1"/>
  <mergeCells count="9">
    <mergeCell ref="A1:Q1"/>
    <mergeCell ref="A3:Q3"/>
    <mergeCell ref="B21:P22"/>
    <mergeCell ref="B24:H24"/>
    <mergeCell ref="B60:P60"/>
    <mergeCell ref="B32:P32"/>
    <mergeCell ref="B35:P35"/>
    <mergeCell ref="B42:P42"/>
    <mergeCell ref="B45:P45"/>
  </mergeCells>
  <pageMargins left="0.7" right="0.7" top="0.75" bottom="0.75" header="0.3" footer="0.3"/>
  <pageSetup orientation="portrait" horizontalDpi="30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5F4970"/>
  </sheetPr>
  <dimension ref="A1:P293"/>
  <sheetViews>
    <sheetView showGridLines="0" showRowColHeaders="0" zoomScaleNormal="100" workbookViewId="0">
      <pane ySplit="8" topLeftCell="A69" activePane="bottomLeft" state="frozen"/>
      <selection pane="bottomLeft" activeCell="H69" sqref="H69"/>
    </sheetView>
  </sheetViews>
  <sheetFormatPr defaultColWidth="0" defaultRowHeight="0" customHeight="1" zeroHeight="1" x14ac:dyDescent="0.25"/>
  <cols>
    <col min="1" max="1" width="4.7109375" customWidth="1"/>
    <col min="2" max="2" width="23.140625" customWidth="1"/>
    <col min="3" max="3" width="21.5703125" customWidth="1"/>
    <col min="4" max="4" width="36.140625" customWidth="1"/>
    <col min="5" max="5" width="10.140625" customWidth="1"/>
    <col min="6" max="8" width="17.7109375" customWidth="1"/>
    <col min="9" max="9" width="18.140625" customWidth="1"/>
    <col min="10" max="10" width="7.7109375" customWidth="1"/>
    <col min="11" max="11" width="8.42578125" customWidth="1"/>
    <col min="12" max="16384" width="9.140625" hidden="1"/>
  </cols>
  <sheetData>
    <row r="1" spans="1:13" ht="25.5" customHeight="1" x14ac:dyDescent="0.25">
      <c r="A1" s="1920" t="s">
        <v>406</v>
      </c>
      <c r="B1" s="1920"/>
      <c r="C1" s="1920"/>
      <c r="D1" s="1920"/>
      <c r="E1" s="1920"/>
      <c r="F1" s="1920"/>
      <c r="G1" s="1920"/>
      <c r="H1" s="1920"/>
      <c r="I1" s="1920"/>
      <c r="J1" s="1920"/>
      <c r="K1" s="1920"/>
    </row>
    <row r="2" spans="1:13" ht="15" customHeight="1" x14ac:dyDescent="0.25">
      <c r="A2" s="4"/>
      <c r="B2" s="4"/>
      <c r="C2" s="4"/>
      <c r="D2" s="4"/>
      <c r="E2" s="4"/>
      <c r="F2" s="5"/>
      <c r="G2" s="5"/>
      <c r="H2" s="175"/>
      <c r="I2" s="1694" t="s">
        <v>1701</v>
      </c>
      <c r="J2" s="1694"/>
      <c r="K2" s="1948" t="s">
        <v>23</v>
      </c>
    </row>
    <row r="3" spans="1:13" ht="15" x14ac:dyDescent="0.25">
      <c r="A3" s="4"/>
      <c r="B3" s="4"/>
      <c r="C3" s="4"/>
      <c r="D3" s="4"/>
      <c r="E3" s="4"/>
      <c r="F3" s="5"/>
      <c r="G3" s="175"/>
      <c r="H3" s="175"/>
      <c r="I3" s="1694"/>
      <c r="J3" s="1694"/>
      <c r="K3" s="1948"/>
    </row>
    <row r="4" spans="1:13" ht="15" customHeight="1" x14ac:dyDescent="0.25">
      <c r="A4" s="4"/>
      <c r="B4" s="4"/>
      <c r="C4" s="4"/>
      <c r="D4" s="4"/>
      <c r="E4" s="4"/>
      <c r="F4" s="5"/>
      <c r="G4" s="176"/>
      <c r="H4" s="176"/>
      <c r="I4" s="1695"/>
      <c r="J4" s="1695"/>
      <c r="K4" s="1949"/>
    </row>
    <row r="5" spans="1:13" s="37" customFormat="1" ht="18" customHeight="1" x14ac:dyDescent="0.25">
      <c r="A5" s="1704" t="s">
        <v>2704</v>
      </c>
      <c r="B5" s="1705"/>
      <c r="C5" s="1705"/>
      <c r="D5" s="1705"/>
      <c r="E5" s="1705"/>
      <c r="F5" s="1705"/>
      <c r="G5" s="1705"/>
      <c r="H5" s="1705"/>
      <c r="I5" s="1705"/>
      <c r="J5" s="1705"/>
      <c r="K5" s="1706"/>
      <c r="L5"/>
      <c r="M5"/>
    </row>
    <row r="6" spans="1:13" s="37" customFormat="1" ht="18" customHeight="1" x14ac:dyDescent="0.25">
      <c r="A6" s="1707"/>
      <c r="B6" s="1708"/>
      <c r="C6" s="1708"/>
      <c r="D6" s="1708"/>
      <c r="E6" s="1708"/>
      <c r="F6" s="1708"/>
      <c r="G6" s="1708"/>
      <c r="H6" s="1708"/>
      <c r="I6" s="1708"/>
      <c r="J6" s="1708"/>
      <c r="K6" s="1709"/>
      <c r="L6"/>
      <c r="M6"/>
    </row>
    <row r="7" spans="1:13" s="37" customFormat="1" ht="18" customHeight="1" x14ac:dyDescent="0.25">
      <c r="A7" s="1710"/>
      <c r="B7" s="1711"/>
      <c r="C7" s="1711"/>
      <c r="D7" s="1711"/>
      <c r="E7" s="1711"/>
      <c r="F7" s="1711"/>
      <c r="G7" s="1711"/>
      <c r="H7" s="1711"/>
      <c r="I7" s="1711"/>
      <c r="J7" s="1711"/>
      <c r="K7" s="1712"/>
      <c r="L7"/>
      <c r="M7"/>
    </row>
    <row r="8" spans="1:13" s="37" customFormat="1" ht="11.25" customHeight="1" x14ac:dyDescent="0.25">
      <c r="A8" s="48"/>
      <c r="B8" s="49"/>
      <c r="C8" s="49"/>
      <c r="D8" s="49"/>
      <c r="E8" s="48"/>
      <c r="F8" s="48"/>
      <c r="G8" s="48"/>
      <c r="H8" s="48"/>
      <c r="I8" s="48"/>
      <c r="J8" s="48"/>
      <c r="K8" s="48"/>
      <c r="L8"/>
      <c r="M8"/>
    </row>
    <row r="9" spans="1:13" ht="18" customHeight="1" x14ac:dyDescent="0.25">
      <c r="A9" s="1947" t="s">
        <v>95</v>
      </c>
      <c r="B9" s="1947"/>
      <c r="C9" s="1947"/>
      <c r="D9" s="1947"/>
      <c r="E9" s="1947"/>
      <c r="F9" s="1947"/>
      <c r="G9" s="1947"/>
      <c r="H9" s="1947"/>
      <c r="I9" s="1947"/>
      <c r="J9" s="1947"/>
      <c r="K9" s="1947"/>
    </row>
    <row r="10" spans="1:13" ht="15" x14ac:dyDescent="0.25">
      <c r="A10" s="5"/>
      <c r="B10" s="4"/>
      <c r="C10" s="4"/>
      <c r="D10" s="4"/>
      <c r="E10" s="5"/>
      <c r="F10" s="5"/>
      <c r="G10" s="5"/>
      <c r="H10" s="5"/>
      <c r="I10" s="5"/>
      <c r="J10" s="5"/>
      <c r="K10" s="5"/>
    </row>
    <row r="11" spans="1:13" ht="21" customHeight="1" x14ac:dyDescent="0.25">
      <c r="A11" s="5"/>
      <c r="B11" s="1942" t="s">
        <v>96</v>
      </c>
      <c r="C11" s="1943"/>
      <c r="D11" s="1943"/>
      <c r="E11" s="1943" t="s">
        <v>75</v>
      </c>
      <c r="F11" s="281" t="s">
        <v>75</v>
      </c>
      <c r="G11" s="281" t="s">
        <v>19</v>
      </c>
      <c r="H11" s="177" t="s">
        <v>151</v>
      </c>
      <c r="I11" s="5"/>
      <c r="J11" s="5"/>
      <c r="K11" s="5"/>
    </row>
    <row r="12" spans="1:13" ht="39.75" customHeight="1" x14ac:dyDescent="0.25">
      <c r="A12" s="5"/>
      <c r="B12" s="1944" t="s">
        <v>1097</v>
      </c>
      <c r="C12" s="1945"/>
      <c r="D12" s="1945"/>
      <c r="E12" s="1946">
        <v>10</v>
      </c>
      <c r="F12" s="35">
        <v>10</v>
      </c>
      <c r="G12" s="320">
        <f>C146</f>
        <v>0</v>
      </c>
      <c r="H12" s="320" t="str">
        <f>C147</f>
        <v>No</v>
      </c>
      <c r="I12" s="5"/>
      <c r="J12" s="5"/>
      <c r="K12" s="5"/>
    </row>
    <row r="13" spans="1:13" ht="18" customHeight="1" x14ac:dyDescent="0.25">
      <c r="A13" s="5"/>
      <c r="B13" s="4"/>
      <c r="C13" s="4"/>
      <c r="D13" s="4"/>
      <c r="E13" s="5"/>
      <c r="F13" s="5"/>
      <c r="G13" s="5"/>
      <c r="H13" s="5"/>
      <c r="I13" s="5"/>
      <c r="J13" s="5"/>
      <c r="K13" s="5"/>
    </row>
    <row r="14" spans="1:13" ht="18" customHeight="1" x14ac:dyDescent="0.25">
      <c r="A14" s="1947" t="s">
        <v>117</v>
      </c>
      <c r="B14" s="1947"/>
      <c r="C14" s="1947"/>
      <c r="D14" s="1947"/>
      <c r="E14" s="1947"/>
      <c r="F14" s="1947"/>
      <c r="G14" s="1947"/>
      <c r="H14" s="1947"/>
      <c r="I14" s="1947"/>
      <c r="J14" s="1947"/>
      <c r="K14" s="1947"/>
    </row>
    <row r="15" spans="1:13" ht="15" x14ac:dyDescent="0.25">
      <c r="A15" s="4"/>
      <c r="B15" s="4"/>
      <c r="C15" s="4"/>
      <c r="D15" s="4"/>
      <c r="E15" s="4"/>
      <c r="F15" s="4"/>
      <c r="G15" s="4"/>
      <c r="H15" s="4"/>
      <c r="I15" s="4"/>
      <c r="J15" s="4"/>
      <c r="K15" s="4"/>
    </row>
    <row r="16" spans="1:13" ht="15" x14ac:dyDescent="0.25">
      <c r="A16" s="4"/>
      <c r="B16" s="1157" t="s">
        <v>1081</v>
      </c>
      <c r="C16" s="4"/>
      <c r="D16" s="4"/>
      <c r="E16" s="4"/>
      <c r="F16" s="4"/>
      <c r="G16" s="4"/>
      <c r="H16" s="4"/>
      <c r="I16" s="4"/>
      <c r="J16" s="4"/>
      <c r="K16" s="4"/>
    </row>
    <row r="17" spans="1:11" ht="15" x14ac:dyDescent="0.25">
      <c r="A17" s="4"/>
      <c r="B17" s="4"/>
      <c r="C17" s="4"/>
      <c r="D17" s="4"/>
      <c r="E17" s="4"/>
      <c r="F17" s="4"/>
      <c r="G17" s="4"/>
      <c r="H17" s="4"/>
      <c r="I17" s="4"/>
      <c r="J17" s="4"/>
      <c r="K17" s="4"/>
    </row>
    <row r="18" spans="1:11" ht="15" x14ac:dyDescent="0.25">
      <c r="A18" s="4"/>
      <c r="B18" s="773" t="s">
        <v>2123</v>
      </c>
      <c r="C18" s="4"/>
      <c r="D18" s="4"/>
      <c r="E18" s="4"/>
      <c r="F18" s="4"/>
      <c r="G18" s="4"/>
      <c r="H18" s="4"/>
      <c r="I18" s="4"/>
      <c r="J18" s="4"/>
      <c r="K18" s="4"/>
    </row>
    <row r="19" spans="1:11" ht="15" x14ac:dyDescent="0.25">
      <c r="A19" s="4"/>
      <c r="B19" s="773" t="s">
        <v>264</v>
      </c>
      <c r="C19" s="4"/>
      <c r="D19" s="4"/>
      <c r="E19" s="4"/>
      <c r="F19" s="4"/>
      <c r="G19" s="4"/>
      <c r="H19" s="4"/>
      <c r="I19" s="4"/>
      <c r="J19" s="4"/>
      <c r="K19" s="4"/>
    </row>
    <row r="20" spans="1:11" ht="15" x14ac:dyDescent="0.25">
      <c r="A20" s="4"/>
      <c r="B20" s="774" t="s">
        <v>271</v>
      </c>
      <c r="C20" s="4"/>
      <c r="D20" s="4"/>
      <c r="E20" s="4"/>
      <c r="F20" s="4"/>
      <c r="G20" s="4"/>
      <c r="H20" s="4"/>
      <c r="I20" s="4"/>
      <c r="J20" s="4"/>
      <c r="K20" s="4"/>
    </row>
    <row r="21" spans="1:11" ht="15" x14ac:dyDescent="0.25">
      <c r="A21" s="4"/>
      <c r="B21" s="774" t="s">
        <v>2313</v>
      </c>
      <c r="C21" s="4"/>
      <c r="D21" s="4"/>
      <c r="E21" s="4"/>
      <c r="F21" s="4"/>
      <c r="G21" s="4"/>
      <c r="H21" s="4"/>
      <c r="I21" s="4"/>
      <c r="J21" s="4"/>
      <c r="K21" s="4"/>
    </row>
    <row r="22" spans="1:11" ht="15" x14ac:dyDescent="0.25">
      <c r="A22" s="4"/>
      <c r="B22" s="774" t="s">
        <v>263</v>
      </c>
      <c r="C22" s="4"/>
      <c r="D22" s="4"/>
      <c r="E22" s="4"/>
      <c r="F22" s="4"/>
      <c r="G22" s="4"/>
      <c r="H22" s="4"/>
      <c r="I22" s="4"/>
      <c r="J22" s="4"/>
      <c r="K22" s="4"/>
    </row>
    <row r="23" spans="1:11" ht="15" x14ac:dyDescent="0.25">
      <c r="A23" s="4"/>
      <c r="B23" s="774" t="s">
        <v>269</v>
      </c>
      <c r="C23" s="4"/>
      <c r="D23" s="4"/>
      <c r="E23" s="4"/>
      <c r="F23" s="4"/>
      <c r="G23" s="4"/>
      <c r="H23" s="4"/>
      <c r="I23" s="4"/>
      <c r="J23" s="4"/>
      <c r="K23" s="4"/>
    </row>
    <row r="24" spans="1:11" ht="15" x14ac:dyDescent="0.25">
      <c r="A24" s="4"/>
      <c r="B24" s="774" t="s">
        <v>265</v>
      </c>
      <c r="C24" s="4"/>
      <c r="D24" s="4"/>
      <c r="E24" s="4"/>
      <c r="F24" s="4"/>
      <c r="G24" s="4"/>
      <c r="H24" s="4"/>
      <c r="I24" s="4"/>
      <c r="J24" s="4"/>
      <c r="K24" s="4"/>
    </row>
    <row r="25" spans="1:11" ht="15" x14ac:dyDescent="0.25">
      <c r="A25" s="4"/>
      <c r="B25" s="774" t="s">
        <v>268</v>
      </c>
      <c r="C25" s="4"/>
      <c r="D25" s="4"/>
      <c r="E25" s="4"/>
      <c r="F25" s="4"/>
      <c r="G25" s="4"/>
      <c r="H25" s="4"/>
      <c r="I25" s="4"/>
      <c r="J25" s="4"/>
      <c r="K25" s="4"/>
    </row>
    <row r="26" spans="1:11" ht="15" x14ac:dyDescent="0.25">
      <c r="A26" s="4"/>
      <c r="B26" s="4"/>
      <c r="C26" s="4"/>
      <c r="D26" s="4"/>
      <c r="E26" s="4"/>
      <c r="F26" s="4"/>
      <c r="G26" s="4"/>
      <c r="H26" s="4"/>
      <c r="I26" s="4"/>
      <c r="J26" s="4"/>
      <c r="K26" s="4"/>
    </row>
    <row r="27" spans="1:11" ht="15" x14ac:dyDescent="0.25">
      <c r="A27" s="4"/>
      <c r="B27" s="773" t="s">
        <v>266</v>
      </c>
      <c r="C27" s="4"/>
      <c r="D27" s="4"/>
      <c r="E27" s="4"/>
      <c r="F27" s="4"/>
      <c r="G27" s="4"/>
      <c r="H27" s="4"/>
      <c r="I27" s="4"/>
      <c r="J27" s="4"/>
      <c r="K27" s="4"/>
    </row>
    <row r="28" spans="1:11" ht="15" x14ac:dyDescent="0.25">
      <c r="A28" s="4"/>
      <c r="B28" s="774" t="s">
        <v>267</v>
      </c>
      <c r="C28" s="4"/>
      <c r="D28" s="4"/>
      <c r="E28" s="4"/>
      <c r="F28" s="4"/>
      <c r="G28" s="4"/>
      <c r="H28" s="4"/>
      <c r="I28" s="4"/>
      <c r="J28" s="4"/>
      <c r="K28" s="4"/>
    </row>
    <row r="29" spans="1:11" ht="15" x14ac:dyDescent="0.25">
      <c r="A29" s="4"/>
      <c r="B29" s="774" t="s">
        <v>270</v>
      </c>
      <c r="C29" s="4"/>
      <c r="D29" s="4"/>
      <c r="E29" s="4"/>
      <c r="F29" s="4"/>
      <c r="G29" s="4"/>
      <c r="H29" s="4"/>
      <c r="I29" s="4"/>
      <c r="J29" s="4"/>
      <c r="K29" s="4"/>
    </row>
    <row r="30" spans="1:11" ht="15" x14ac:dyDescent="0.25">
      <c r="A30" s="4"/>
      <c r="B30" s="4"/>
      <c r="C30" s="4"/>
      <c r="D30" s="4"/>
      <c r="E30" s="4"/>
      <c r="F30" s="4"/>
      <c r="G30" s="4"/>
      <c r="H30" s="4"/>
      <c r="I30" s="4"/>
      <c r="J30" s="4"/>
      <c r="K30" s="4"/>
    </row>
    <row r="31" spans="1:11" ht="15" x14ac:dyDescent="0.25">
      <c r="A31" s="4"/>
      <c r="B31" s="1950" t="s">
        <v>2706</v>
      </c>
      <c r="C31" s="1951"/>
      <c r="D31" s="1951"/>
      <c r="E31" s="1951"/>
      <c r="F31" s="1952"/>
      <c r="G31" s="4"/>
      <c r="H31" s="4"/>
      <c r="I31" s="4"/>
      <c r="J31" s="4"/>
      <c r="K31" s="4"/>
    </row>
    <row r="32" spans="1:11" ht="15" x14ac:dyDescent="0.25">
      <c r="A32" s="4"/>
      <c r="B32" s="1953" t="s">
        <v>2124</v>
      </c>
      <c r="C32" s="1954"/>
      <c r="D32" s="1954"/>
      <c r="E32" s="1954"/>
      <c r="F32" s="1955"/>
      <c r="G32" s="4"/>
      <c r="H32" s="4"/>
      <c r="I32" s="4"/>
      <c r="J32" s="4"/>
      <c r="K32" s="4"/>
    </row>
    <row r="33" spans="1:11" ht="15" x14ac:dyDescent="0.25">
      <c r="A33" s="4"/>
      <c r="B33" s="1953" t="s">
        <v>2125</v>
      </c>
      <c r="C33" s="1954"/>
      <c r="D33" s="1954"/>
      <c r="E33" s="1954"/>
      <c r="F33" s="1955"/>
      <c r="G33" s="4"/>
      <c r="H33" s="4"/>
      <c r="I33" s="4"/>
      <c r="J33" s="4"/>
      <c r="K33" s="4"/>
    </row>
    <row r="34" spans="1:11" ht="15" x14ac:dyDescent="0.25">
      <c r="A34" s="4"/>
      <c r="B34" s="1953" t="s">
        <v>2126</v>
      </c>
      <c r="C34" s="1954"/>
      <c r="D34" s="1954"/>
      <c r="E34" s="1954"/>
      <c r="F34" s="1955"/>
      <c r="G34" s="4"/>
      <c r="H34" s="4"/>
      <c r="I34" s="4"/>
      <c r="J34" s="4"/>
      <c r="K34" s="4"/>
    </row>
    <row r="35" spans="1:11" ht="15" x14ac:dyDescent="0.25">
      <c r="A35" s="4"/>
      <c r="B35" s="1953" t="s">
        <v>2127</v>
      </c>
      <c r="C35" s="1954"/>
      <c r="D35" s="1954"/>
      <c r="E35" s="1954"/>
      <c r="F35" s="1955"/>
      <c r="G35" s="4"/>
      <c r="H35" s="4"/>
      <c r="I35" s="4"/>
      <c r="J35" s="4"/>
      <c r="K35" s="4"/>
    </row>
    <row r="36" spans="1:11" ht="15" customHeight="1" x14ac:dyDescent="0.25">
      <c r="A36" s="4"/>
      <c r="B36" s="1953" t="s">
        <v>2355</v>
      </c>
      <c r="C36" s="1954"/>
      <c r="D36" s="1954"/>
      <c r="E36" s="1954"/>
      <c r="F36" s="1955"/>
      <c r="G36" s="4"/>
      <c r="H36" s="4"/>
      <c r="I36" s="4"/>
      <c r="J36" s="4"/>
      <c r="K36" s="4"/>
    </row>
    <row r="37" spans="1:11" ht="15" customHeight="1" x14ac:dyDescent="0.25">
      <c r="A37" s="4"/>
      <c r="B37" s="1953" t="s">
        <v>2348</v>
      </c>
      <c r="C37" s="1954"/>
      <c r="D37" s="1954"/>
      <c r="E37" s="1954"/>
      <c r="F37" s="1955"/>
      <c r="G37" s="4"/>
      <c r="H37" s="4"/>
      <c r="I37" s="4"/>
      <c r="J37" s="4"/>
      <c r="K37" s="4"/>
    </row>
    <row r="38" spans="1:11" ht="15" customHeight="1" x14ac:dyDescent="0.25">
      <c r="A38" s="4"/>
      <c r="B38" s="1953" t="s">
        <v>2128</v>
      </c>
      <c r="C38" s="1954"/>
      <c r="D38" s="1954"/>
      <c r="E38" s="1954"/>
      <c r="F38" s="1955"/>
      <c r="G38" s="4"/>
      <c r="H38" s="4"/>
      <c r="I38" s="4"/>
      <c r="J38" s="4"/>
      <c r="K38" s="4"/>
    </row>
    <row r="39" spans="1:11" ht="15" customHeight="1" x14ac:dyDescent="0.25">
      <c r="A39" s="4"/>
      <c r="B39" s="1308" t="s">
        <v>2807</v>
      </c>
      <c r="C39" s="1309"/>
      <c r="D39" s="1309"/>
      <c r="E39" s="1309"/>
      <c r="F39" s="1310"/>
      <c r="G39" s="4"/>
      <c r="H39" s="4"/>
      <c r="I39" s="4"/>
      <c r="J39" s="4"/>
      <c r="K39" s="4"/>
    </row>
    <row r="40" spans="1:11" ht="15" customHeight="1" x14ac:dyDescent="0.25">
      <c r="A40" s="4"/>
      <c r="B40" s="1308" t="s">
        <v>2808</v>
      </c>
      <c r="C40" s="1309"/>
      <c r="D40" s="1309"/>
      <c r="E40" s="1309"/>
      <c r="F40" s="1310"/>
      <c r="G40" s="4"/>
      <c r="H40" s="4"/>
      <c r="I40" s="4"/>
      <c r="J40" s="4"/>
      <c r="K40" s="4"/>
    </row>
    <row r="41" spans="1:11" ht="15" x14ac:dyDescent="0.25">
      <c r="A41" s="4"/>
      <c r="B41" s="1953" t="s">
        <v>2129</v>
      </c>
      <c r="C41" s="1954"/>
      <c r="D41" s="1954"/>
      <c r="E41" s="1954"/>
      <c r="F41" s="1955"/>
      <c r="G41" s="4"/>
      <c r="H41" s="4"/>
      <c r="I41" s="4"/>
      <c r="J41" s="4"/>
      <c r="K41" s="4"/>
    </row>
    <row r="42" spans="1:11" ht="15" x14ac:dyDescent="0.25">
      <c r="A42" s="4"/>
      <c r="B42" s="1953" t="s">
        <v>2347</v>
      </c>
      <c r="C42" s="1954"/>
      <c r="D42" s="1954"/>
      <c r="E42" s="1954"/>
      <c r="F42" s="1955"/>
      <c r="G42" s="4"/>
      <c r="H42" s="4"/>
      <c r="I42" s="4"/>
      <c r="J42" s="4"/>
      <c r="K42" s="4"/>
    </row>
    <row r="43" spans="1:11" ht="15" x14ac:dyDescent="0.25">
      <c r="A43" s="4"/>
      <c r="B43" s="1953" t="s">
        <v>2130</v>
      </c>
      <c r="C43" s="1954"/>
      <c r="D43" s="1954"/>
      <c r="E43" s="1954"/>
      <c r="F43" s="1955"/>
      <c r="G43" s="4"/>
      <c r="H43" s="4"/>
      <c r="I43" s="4"/>
      <c r="J43" s="4"/>
      <c r="K43" s="4"/>
    </row>
    <row r="44" spans="1:11" ht="15" x14ac:dyDescent="0.25">
      <c r="A44" s="4"/>
      <c r="B44" s="1963" t="s">
        <v>2131</v>
      </c>
      <c r="C44" s="1964"/>
      <c r="D44" s="1964"/>
      <c r="E44" s="1964"/>
      <c r="F44" s="1965"/>
      <c r="G44" s="4"/>
      <c r="H44" s="4"/>
      <c r="I44" s="4"/>
      <c r="J44" s="4"/>
      <c r="K44" s="4"/>
    </row>
    <row r="45" spans="1:11" ht="18" customHeight="1" x14ac:dyDescent="0.25">
      <c r="A45" s="4"/>
      <c r="B45" s="4"/>
      <c r="C45" s="4"/>
      <c r="D45" s="4"/>
      <c r="E45" s="4"/>
      <c r="F45" s="4"/>
      <c r="G45" s="4"/>
      <c r="H45" s="4"/>
      <c r="I45" s="4"/>
      <c r="J45" s="4"/>
      <c r="K45" s="4"/>
    </row>
    <row r="46" spans="1:11" ht="18" customHeight="1" x14ac:dyDescent="0.25">
      <c r="A46" s="1947" t="s">
        <v>9</v>
      </c>
      <c r="B46" s="1947"/>
      <c r="C46" s="1947"/>
      <c r="D46" s="1947"/>
      <c r="E46" s="1947"/>
      <c r="F46" s="1947"/>
      <c r="G46" s="1947"/>
      <c r="H46" s="1947"/>
      <c r="I46" s="1947"/>
      <c r="J46" s="1947"/>
      <c r="K46" s="1947"/>
    </row>
    <row r="47" spans="1:11" ht="15" x14ac:dyDescent="0.25">
      <c r="A47" s="4"/>
      <c r="B47" s="4"/>
      <c r="C47" s="4"/>
      <c r="D47" s="4"/>
      <c r="E47" s="4"/>
      <c r="F47" s="4"/>
      <c r="G47" s="4"/>
      <c r="H47" s="4"/>
      <c r="I47" s="4"/>
      <c r="J47" s="4"/>
      <c r="K47" s="4"/>
    </row>
    <row r="48" spans="1:11" ht="15" customHeight="1" x14ac:dyDescent="0.25">
      <c r="A48" s="4"/>
      <c r="B48" s="700" t="s">
        <v>1084</v>
      </c>
      <c r="C48" s="4"/>
      <c r="D48" s="4"/>
      <c r="E48" s="4"/>
      <c r="F48" s="4"/>
      <c r="G48" s="4"/>
      <c r="H48" s="4"/>
      <c r="I48" s="4"/>
      <c r="J48" s="4"/>
      <c r="K48" s="4"/>
    </row>
    <row r="49" spans="1:13" ht="15" customHeight="1" x14ac:dyDescent="0.25">
      <c r="A49" s="4"/>
      <c r="B49" s="700" t="s">
        <v>1085</v>
      </c>
      <c r="C49" s="4"/>
      <c r="D49" s="4"/>
      <c r="E49" s="4"/>
      <c r="F49" s="4"/>
      <c r="G49" s="4"/>
      <c r="H49" s="4"/>
      <c r="I49" s="4"/>
      <c r="J49" s="4"/>
      <c r="K49" s="4"/>
    </row>
    <row r="50" spans="1:13" ht="15" customHeight="1" x14ac:dyDescent="0.25">
      <c r="A50" s="4"/>
      <c r="B50" s="700" t="s">
        <v>2822</v>
      </c>
      <c r="C50" s="4"/>
      <c r="D50" s="4"/>
      <c r="E50" s="4"/>
      <c r="F50" s="4"/>
      <c r="G50" s="4"/>
      <c r="H50" s="4"/>
      <c r="I50" s="4"/>
      <c r="J50" s="4"/>
      <c r="K50" s="4"/>
      <c r="M50" t="s">
        <v>62</v>
      </c>
    </row>
    <row r="51" spans="1:13" ht="15" x14ac:dyDescent="0.25">
      <c r="A51" s="4"/>
      <c r="B51" s="700"/>
      <c r="C51" s="4"/>
      <c r="D51" s="4"/>
      <c r="E51" s="4"/>
      <c r="F51" s="4"/>
      <c r="G51" s="4"/>
      <c r="H51" s="4"/>
      <c r="I51" s="4"/>
      <c r="J51" s="4"/>
      <c r="K51" s="4"/>
      <c r="M51" t="s">
        <v>2333</v>
      </c>
    </row>
    <row r="52" spans="1:13" ht="15" x14ac:dyDescent="0.25">
      <c r="A52" s="4"/>
      <c r="B52" s="1958" t="s">
        <v>1086</v>
      </c>
      <c r="C52" s="1958"/>
      <c r="D52" s="1958"/>
      <c r="E52" s="4"/>
      <c r="F52" s="4"/>
      <c r="G52" s="4"/>
      <c r="H52" s="4"/>
      <c r="I52" s="4"/>
      <c r="J52" s="4"/>
      <c r="K52" s="4"/>
      <c r="M52" t="s">
        <v>2334</v>
      </c>
    </row>
    <row r="53" spans="1:13" ht="20.25" customHeight="1" x14ac:dyDescent="0.25">
      <c r="A53" s="4"/>
      <c r="B53" s="1956" t="s">
        <v>96</v>
      </c>
      <c r="C53" s="1959"/>
      <c r="D53" s="1956" t="s">
        <v>1025</v>
      </c>
      <c r="E53" s="1957"/>
      <c r="F53" s="4"/>
      <c r="G53" s="4"/>
      <c r="H53" s="4"/>
      <c r="I53" s="4"/>
      <c r="J53" s="4"/>
      <c r="K53" s="4"/>
      <c r="M53" t="s">
        <v>2335</v>
      </c>
    </row>
    <row r="54" spans="1:13" ht="18" customHeight="1" x14ac:dyDescent="0.25">
      <c r="A54" s="4"/>
      <c r="B54" s="1927" t="s">
        <v>1087</v>
      </c>
      <c r="C54" s="1927"/>
      <c r="D54" s="1928">
        <v>1</v>
      </c>
      <c r="E54" s="1929"/>
      <c r="F54" s="4"/>
      <c r="G54" s="4"/>
      <c r="H54" s="4"/>
      <c r="I54" s="4"/>
      <c r="J54" s="4"/>
      <c r="K54" s="4"/>
      <c r="M54" t="s">
        <v>2336</v>
      </c>
    </row>
    <row r="55" spans="1:13" ht="18" customHeight="1" x14ac:dyDescent="0.25">
      <c r="A55" s="4"/>
      <c r="B55" s="1927" t="s">
        <v>413</v>
      </c>
      <c r="C55" s="1927"/>
      <c r="D55" s="1928" t="s">
        <v>414</v>
      </c>
      <c r="E55" s="1929"/>
      <c r="F55" s="4"/>
      <c r="G55" s="4"/>
      <c r="H55" s="4"/>
      <c r="I55" s="4"/>
      <c r="J55" s="4"/>
      <c r="K55" s="4"/>
      <c r="M55" t="s">
        <v>2337</v>
      </c>
    </row>
    <row r="56" spans="1:13" ht="27" customHeight="1" x14ac:dyDescent="0.25">
      <c r="A56" s="4"/>
      <c r="B56" s="1927" t="s">
        <v>415</v>
      </c>
      <c r="C56" s="1927"/>
      <c r="D56" s="1928" t="s">
        <v>2143</v>
      </c>
      <c r="E56" s="1929"/>
      <c r="F56" s="4"/>
      <c r="G56" s="4"/>
      <c r="H56" s="4"/>
      <c r="I56" s="4"/>
      <c r="J56" s="4"/>
      <c r="K56" s="4"/>
      <c r="M56" t="s">
        <v>2821</v>
      </c>
    </row>
    <row r="57" spans="1:13" ht="18" customHeight="1" x14ac:dyDescent="0.25">
      <c r="A57" s="4"/>
      <c r="B57" s="1927" t="s">
        <v>416</v>
      </c>
      <c r="C57" s="1927"/>
      <c r="D57" s="1928" t="s">
        <v>1094</v>
      </c>
      <c r="E57" s="1929"/>
      <c r="F57" s="4"/>
      <c r="G57" s="4"/>
      <c r="H57" s="4"/>
      <c r="I57" s="4"/>
      <c r="J57" s="4"/>
      <c r="K57" s="4"/>
      <c r="M57" t="s">
        <v>417</v>
      </c>
    </row>
    <row r="58" spans="1:13" ht="22.5" customHeight="1" x14ac:dyDescent="0.25">
      <c r="A58" s="4"/>
      <c r="B58" s="1927" t="s">
        <v>2354</v>
      </c>
      <c r="C58" s="1927"/>
      <c r="D58" s="1928" t="s">
        <v>2353</v>
      </c>
      <c r="E58" s="1929"/>
      <c r="F58" s="4"/>
      <c r="G58" s="4"/>
      <c r="H58" s="4"/>
      <c r="I58" s="4"/>
      <c r="J58" s="695"/>
      <c r="K58" s="4"/>
      <c r="M58" s="1319" t="s">
        <v>2816</v>
      </c>
    </row>
    <row r="59" spans="1:13" ht="27" customHeight="1" x14ac:dyDescent="0.25">
      <c r="A59" s="4"/>
      <c r="B59" s="1927" t="s">
        <v>2349</v>
      </c>
      <c r="C59" s="1927"/>
      <c r="D59" s="1928">
        <v>0.2</v>
      </c>
      <c r="E59" s="1929"/>
      <c r="F59" s="4"/>
      <c r="G59" s="4"/>
      <c r="H59" s="4"/>
      <c r="I59" s="4"/>
      <c r="J59" s="4"/>
      <c r="K59" s="4"/>
      <c r="M59" s="25" t="s">
        <v>2817</v>
      </c>
    </row>
    <row r="60" spans="1:13" ht="18" customHeight="1" x14ac:dyDescent="0.25">
      <c r="A60" s="4"/>
      <c r="B60" s="1927" t="s">
        <v>417</v>
      </c>
      <c r="C60" s="1927"/>
      <c r="D60" s="1928">
        <v>0.2</v>
      </c>
      <c r="E60" s="1929"/>
      <c r="F60" s="4"/>
      <c r="G60" s="4"/>
      <c r="H60" s="4"/>
      <c r="I60" s="4"/>
      <c r="J60" s="4"/>
      <c r="K60" s="4"/>
      <c r="M60" s="25" t="s">
        <v>2818</v>
      </c>
    </row>
    <row r="61" spans="1:13" ht="54" customHeight="1" x14ac:dyDescent="0.25">
      <c r="A61" s="4"/>
      <c r="B61" s="1927" t="s">
        <v>2805</v>
      </c>
      <c r="C61" s="1927"/>
      <c r="D61" s="1928" t="s">
        <v>2809</v>
      </c>
      <c r="E61" s="1929"/>
      <c r="F61" s="4"/>
      <c r="G61" s="4"/>
      <c r="H61" s="4"/>
      <c r="I61" s="4"/>
      <c r="J61" s="4"/>
      <c r="K61" s="4"/>
      <c r="M61" s="25" t="s">
        <v>2819</v>
      </c>
    </row>
    <row r="62" spans="1:13" ht="18" customHeight="1" x14ac:dyDescent="0.25">
      <c r="A62" s="4"/>
      <c r="B62" s="1927" t="s">
        <v>2806</v>
      </c>
      <c r="C62" s="1927"/>
      <c r="D62" s="1928">
        <v>0.2</v>
      </c>
      <c r="E62" s="1929"/>
      <c r="F62" s="4"/>
      <c r="G62" s="4"/>
      <c r="H62" s="4"/>
      <c r="I62" s="4"/>
      <c r="J62" s="4"/>
      <c r="K62" s="4"/>
      <c r="M62" t="s">
        <v>2815</v>
      </c>
    </row>
    <row r="63" spans="1:13" ht="18" customHeight="1" x14ac:dyDescent="0.25">
      <c r="A63" s="4"/>
      <c r="B63" s="1927" t="s">
        <v>418</v>
      </c>
      <c r="C63" s="1927"/>
      <c r="D63" s="1928">
        <v>0.2</v>
      </c>
      <c r="E63" s="1929"/>
      <c r="F63" s="4"/>
      <c r="G63" s="4"/>
      <c r="H63" s="4"/>
      <c r="I63" s="4"/>
      <c r="J63" s="4"/>
      <c r="K63" s="4"/>
      <c r="M63" t="s">
        <v>2338</v>
      </c>
    </row>
    <row r="64" spans="1:13" ht="18" customHeight="1" x14ac:dyDescent="0.25">
      <c r="A64" s="4"/>
      <c r="B64" s="1927" t="s">
        <v>2350</v>
      </c>
      <c r="C64" s="1927"/>
      <c r="D64" s="1928">
        <v>0.2</v>
      </c>
      <c r="E64" s="1929"/>
      <c r="F64" s="4"/>
      <c r="G64" s="4"/>
      <c r="H64" s="4"/>
      <c r="I64" s="4"/>
      <c r="J64" s="4"/>
      <c r="K64" s="4"/>
      <c r="M64" t="s">
        <v>2339</v>
      </c>
    </row>
    <row r="65" spans="1:16" ht="27" customHeight="1" x14ac:dyDescent="0.25">
      <c r="A65" s="4"/>
      <c r="B65" s="1927" t="s">
        <v>2120</v>
      </c>
      <c r="C65" s="1927"/>
      <c r="D65" s="1928">
        <v>0.2</v>
      </c>
      <c r="E65" s="1929"/>
      <c r="F65" s="4"/>
      <c r="G65" s="4"/>
      <c r="H65" s="4"/>
      <c r="I65" s="4"/>
      <c r="J65" s="4"/>
      <c r="K65" s="4"/>
      <c r="M65" t="s">
        <v>2340</v>
      </c>
    </row>
    <row r="66" spans="1:16" ht="18" customHeight="1" x14ac:dyDescent="0.25">
      <c r="A66" s="4"/>
      <c r="B66" s="1927" t="s">
        <v>2119</v>
      </c>
      <c r="C66" s="1927"/>
      <c r="D66" s="1928">
        <v>0.1</v>
      </c>
      <c r="E66" s="1929"/>
      <c r="F66" s="4"/>
      <c r="G66" s="4"/>
      <c r="H66" s="4"/>
      <c r="I66" s="4"/>
      <c r="J66" s="4"/>
      <c r="K66" s="4"/>
      <c r="M66" t="s">
        <v>2341</v>
      </c>
    </row>
    <row r="67" spans="1:16" ht="15" x14ac:dyDescent="0.25">
      <c r="A67" s="4"/>
      <c r="B67" s="617"/>
      <c r="C67" s="4"/>
      <c r="D67" s="4"/>
      <c r="E67" s="4"/>
      <c r="F67" s="4"/>
      <c r="G67" s="4"/>
      <c r="H67" s="4"/>
      <c r="I67" s="4"/>
      <c r="J67" s="4"/>
      <c r="K67" s="4"/>
      <c r="M67" t="s">
        <v>2342</v>
      </c>
    </row>
    <row r="68" spans="1:16" ht="15" x14ac:dyDescent="0.25">
      <c r="A68" s="4"/>
      <c r="B68" s="4"/>
      <c r="C68" s="4"/>
      <c r="D68" s="4"/>
      <c r="E68" s="4"/>
      <c r="F68" s="4"/>
      <c r="G68" s="4"/>
      <c r="H68" s="4"/>
      <c r="I68" s="4"/>
      <c r="J68" s="4"/>
      <c r="K68" s="4"/>
    </row>
    <row r="69" spans="1:16" ht="15" x14ac:dyDescent="0.25">
      <c r="A69" s="4"/>
      <c r="B69" s="692" t="s">
        <v>1250</v>
      </c>
      <c r="C69" s="4"/>
      <c r="D69" s="4"/>
      <c r="E69" s="4"/>
      <c r="F69" s="4"/>
      <c r="G69" s="4"/>
      <c r="H69" s="4"/>
      <c r="I69" s="4"/>
      <c r="J69" s="4"/>
      <c r="K69" s="4"/>
    </row>
    <row r="70" spans="1:16" ht="14.25" customHeight="1" x14ac:dyDescent="0.25">
      <c r="A70" s="4"/>
      <c r="B70" s="4"/>
      <c r="C70" s="4"/>
      <c r="D70" s="4"/>
      <c r="E70" s="4"/>
      <c r="F70" s="4"/>
      <c r="G70" s="4"/>
      <c r="H70" s="4"/>
      <c r="I70" s="4"/>
      <c r="J70" s="4"/>
      <c r="K70" s="4"/>
    </row>
    <row r="71" spans="1:16" ht="28.5" customHeight="1" x14ac:dyDescent="0.25">
      <c r="A71" s="4"/>
      <c r="B71" s="276" t="s">
        <v>2357</v>
      </c>
      <c r="C71" s="277" t="s">
        <v>1095</v>
      </c>
      <c r="D71" s="1931" t="s">
        <v>1096</v>
      </c>
      <c r="E71" s="1931"/>
      <c r="F71" s="1141" t="s">
        <v>582</v>
      </c>
      <c r="G71" s="277" t="s">
        <v>1079</v>
      </c>
      <c r="H71" s="1931" t="s">
        <v>15</v>
      </c>
      <c r="I71" s="1931"/>
      <c r="J71" s="1932"/>
      <c r="K71" s="1247"/>
      <c r="O71" s="1966"/>
      <c r="P71" s="1966"/>
    </row>
    <row r="72" spans="1:16" ht="15" x14ac:dyDescent="0.25">
      <c r="A72" s="4"/>
      <c r="B72" s="1936"/>
      <c r="C72" s="1933"/>
      <c r="D72" s="1323" t="s">
        <v>62</v>
      </c>
      <c r="E72" s="1021"/>
      <c r="F72" s="693">
        <f>IF(AND(P72=1,O72=1),MIN(1,L72),0)</f>
        <v>0</v>
      </c>
      <c r="G72" s="1939">
        <f>MIN(C72,C72*(F72+F73+F74))</f>
        <v>0</v>
      </c>
      <c r="H72" s="1648"/>
      <c r="I72" s="1648"/>
      <c r="J72" s="1648"/>
      <c r="K72" s="4"/>
      <c r="L72" s="4">
        <f>IF(N72=1,E72,1)*IF(OR(D72=$M$51,D72=$M$52,D72=$M$53,D72=$M$54,D72=$M$58),1,IF(D72=$M$59,0.8,IF(D72=$M$60,0.6,IF(D72=$M$61,0.4,IF(D72=$M$55,0.5,IF(OR(D72=$M$57,D72=$M$63,D72=$M$56,D72=$M$64,D72=$M$62,D72=$M$65),0.2,IF(D72=$M$66,0.1,0)))))))</f>
        <v>0</v>
      </c>
      <c r="M72" s="4"/>
      <c r="N72">
        <f>IF(OR(D72=$M$53,D72=$M$52,D72=$M$54,D72=$M$55),1,0)</f>
        <v>0</v>
      </c>
      <c r="O72">
        <f>IFERROR(IF(VLOOKUP(D72,$M$51:$M$67,1,FALSE)=D72,1,0),0)</f>
        <v>0</v>
      </c>
      <c r="P72" s="1967">
        <f>MIN(1,SUM(O72:O74))</f>
        <v>0</v>
      </c>
    </row>
    <row r="73" spans="1:16" ht="15" x14ac:dyDescent="0.25">
      <c r="A73" s="4"/>
      <c r="B73" s="1937"/>
      <c r="C73" s="1934"/>
      <c r="D73" s="1324" t="s">
        <v>62</v>
      </c>
      <c r="E73" s="1021"/>
      <c r="F73" s="693">
        <f>IF(AND(P72=1,O73=1),MIN(1,L73),0)</f>
        <v>0</v>
      </c>
      <c r="G73" s="1940"/>
      <c r="H73" s="1648"/>
      <c r="I73" s="1648"/>
      <c r="J73" s="1648"/>
      <c r="K73" s="4"/>
      <c r="L73" s="4">
        <f>IF(N73=1,E73,1)*IF(OR(D73=$M$51,D73=$M$52,D73=$M$53,D73=$M$54,D73=$M$58),1,IF(D73=$M$59,0.8,IF(D73=$M$60,0.6,IF(D73=$M$61,0.4,IF(D73=$M$55,0.5,IF(OR(D73=$M$57,D73=$M$63,D73=$M$56,D73=$M$64,D73=$M$62,D73=$M$65),0.2,IF(D73=$M$66,0.1,0)))))))</f>
        <v>0</v>
      </c>
      <c r="M73" s="4"/>
      <c r="N73">
        <f>IF(OR(D73=$M$53,D73=$M$52,D73=$M$54,D73=$M$55),1,0)</f>
        <v>0</v>
      </c>
      <c r="O73">
        <f>IFERROR(IF(VLOOKUP(D73,$M$51:$M$67,1,FALSE)=D73,1,0),0)</f>
        <v>0</v>
      </c>
      <c r="P73" s="1967"/>
    </row>
    <row r="74" spans="1:16" ht="15.75" thickBot="1" x14ac:dyDescent="0.3">
      <c r="A74" s="4"/>
      <c r="B74" s="1938"/>
      <c r="C74" s="1935"/>
      <c r="D74" s="1311" t="s">
        <v>62</v>
      </c>
      <c r="E74" s="1246"/>
      <c r="F74" s="1320">
        <f>IF(AND(P72=1,O74=1),MIN(1,L74),0)</f>
        <v>0</v>
      </c>
      <c r="G74" s="1941"/>
      <c r="H74" s="1930"/>
      <c r="I74" s="1930"/>
      <c r="J74" s="1930"/>
      <c r="K74" s="4"/>
      <c r="L74" s="4">
        <f>IF(N74=1,E74,1)*IF(OR(D74=$M$51,D74=$M$52,D74=$M$53,D74=$M$54,D74=$M$58),1,IF(D74=$M$59,0.8,IF(D74=$M$60,0.6,IF(D74=$M$61,0.4,IF(D74=$M$55,0.5,IF(OR(D74=$M$57,D74=$M$63,D74=$M$56,D74=$M$64,D74=$M$62,D74=$M$65),0.2,IF(D74=$M$66,0.1,0)))))))</f>
        <v>0</v>
      </c>
      <c r="M74" s="4"/>
      <c r="N74">
        <f>IF(OR(D74=$M$53,D74=$M$52,D74=$M$54,D74=$M$55),1,0)</f>
        <v>0</v>
      </c>
      <c r="O74">
        <f t="shared" ref="O74:O131" si="0">IFERROR(IF(VLOOKUP(D74,$M$51:$M$67,1,FALSE)=D74,1,0),0)</f>
        <v>0</v>
      </c>
      <c r="P74" s="1967"/>
    </row>
    <row r="75" spans="1:16" ht="15" x14ac:dyDescent="0.25">
      <c r="A75" s="4"/>
      <c r="B75" s="2600"/>
      <c r="C75" s="2599"/>
      <c r="D75" s="1323" t="s">
        <v>62</v>
      </c>
      <c r="E75" s="1021"/>
      <c r="F75" s="1321">
        <f>IF(AND(P75=1,O75=1),MIN(1,L75),0)</f>
        <v>0</v>
      </c>
      <c r="G75" s="1939">
        <f>IF(P75=1,MIN(C75,C75*(F75*O75+F76*O76+F77*O77)),MIN(C75,C75*(F75+F76+F77)))</f>
        <v>0</v>
      </c>
      <c r="H75" s="1648"/>
      <c r="I75" s="1648"/>
      <c r="J75" s="1648"/>
      <c r="K75" s="4"/>
      <c r="L75" s="4">
        <f>IF(N75=1,E75,1)*IF(OR(D75=$M$51,D75=$M$52,D75=$M$53,D75=$M$54,D75=$M$58),1,IF(D75=$M$59,0.8,IF(D75=$M$60,0.6,IF(D75=$M$61,0.4,IF(D75=$M$55,0.5,IF(OR(D75=$M$57,D75=$M$63,D75=$M$56,D75=$M$64,D75=$M$62,D75=$M$65),0.2,IF(D75=$M$66,0.1,0)))))))</f>
        <v>0</v>
      </c>
      <c r="M75" s="4"/>
      <c r="N75">
        <f>IF(OR(D75=$M$53,D75=$M$52,D75=$M$54,D75=$M$55),1,0)</f>
        <v>0</v>
      </c>
      <c r="O75">
        <f t="shared" si="0"/>
        <v>0</v>
      </c>
      <c r="P75" s="1967">
        <f>MIN(1,SUM(O75:O77))</f>
        <v>0</v>
      </c>
    </row>
    <row r="76" spans="1:16" ht="15" x14ac:dyDescent="0.25">
      <c r="A76" s="4"/>
      <c r="B76" s="1937"/>
      <c r="C76" s="1934"/>
      <c r="D76" s="1324" t="s">
        <v>62</v>
      </c>
      <c r="E76" s="1021"/>
      <c r="F76" s="693">
        <f>IF(AND(P75=1,O76=1),MIN(1,L76),0)</f>
        <v>0</v>
      </c>
      <c r="G76" s="1940"/>
      <c r="H76" s="1648"/>
      <c r="I76" s="1648"/>
      <c r="J76" s="1648"/>
      <c r="K76" s="4"/>
      <c r="L76" s="4">
        <f>IF(N76=1,E76,1)*IF(OR(D76=$M$51,D76=$M$52,D76=$M$53,D76=$M$54,D76=$M$58),1,IF(D76=$M$59,0.8,IF(D76=$M$60,0.6,IF(D76=$M$61,0.4,IF(D76=$M$55,0.5,IF(OR(D76=$M$57,D76=$M$63,D76=$M$56,D76=$M$64,D76=$M$62,D76=$M$65),0.2,IF(D76=$M$66,0.1,0)))))))</f>
        <v>0</v>
      </c>
      <c r="M76" s="4"/>
      <c r="N76">
        <f>IF(OR(D76=$M$53,D76=$M$52,D76=$M$54,D76=$M$55),1,0)</f>
        <v>0</v>
      </c>
      <c r="O76">
        <f t="shared" si="0"/>
        <v>0</v>
      </c>
      <c r="P76" s="1967"/>
    </row>
    <row r="77" spans="1:16" ht="15.75" thickBot="1" x14ac:dyDescent="0.3">
      <c r="A77" s="4"/>
      <c r="B77" s="1938"/>
      <c r="C77" s="1935"/>
      <c r="D77" s="1311" t="s">
        <v>62</v>
      </c>
      <c r="E77" s="1246"/>
      <c r="F77" s="1322">
        <f>IF(AND(P75=1,O77=1),MIN(1,L77),0)</f>
        <v>0</v>
      </c>
      <c r="G77" s="1941"/>
      <c r="H77" s="1930"/>
      <c r="I77" s="1930"/>
      <c r="J77" s="1930"/>
      <c r="K77" s="4"/>
      <c r="L77" s="4">
        <f>IF(N77=1,E77,1)*IF(OR(D77=$M$51,D77=$M$52,D77=$M$53,D77=$M$54,D77=$M$58),1,IF(D77=$M$59,0.8,IF(D77=$M$60,0.6,IF(D77=$M$61,0.4,IF(D77=$M$55,0.5,IF(OR(D77=$M$57,D77=$M$63,D77=$M$56,D77=$M$64,D77=$M$62,D77=$M$65),0.2,IF(D77=$M$66,0.1,0)))))))</f>
        <v>0</v>
      </c>
      <c r="M77" s="4"/>
      <c r="N77">
        <f>IF(OR(D77=$M$53,D77=$M$52,D77=$M$54,D77=$M$55),1,0)</f>
        <v>0</v>
      </c>
      <c r="O77">
        <f t="shared" si="0"/>
        <v>0</v>
      </c>
      <c r="P77" s="1967"/>
    </row>
    <row r="78" spans="1:16" ht="15" x14ac:dyDescent="0.25">
      <c r="A78" s="4"/>
      <c r="B78" s="2600"/>
      <c r="C78" s="2599"/>
      <c r="D78" s="1323" t="s">
        <v>62</v>
      </c>
      <c r="E78" s="1021"/>
      <c r="F78" s="693">
        <f>IF(AND(P78=1,O78=1),MIN(1,L78),0)</f>
        <v>0</v>
      </c>
      <c r="G78" s="1939">
        <f>IF(P78=1,MIN(C78,C78*(F78*O78+F79*O79+F80*O80)),MIN(C78,C78*(F78+F79+F80)))</f>
        <v>0</v>
      </c>
      <c r="H78" s="1648"/>
      <c r="I78" s="1648"/>
      <c r="J78" s="1648"/>
      <c r="K78" s="4"/>
      <c r="L78" s="4">
        <f>IF(N78=1,E78,1)*IF(OR(D78=$M$51,D78=$M$52,D78=$M$53,D78=$M$54,D78=$M$58),1,IF(D78=$M$59,0.8,IF(D78=$M$60,0.6,IF(D78=$M$61,0.4,IF(D78=$M$55,0.5,IF(OR(D78=$M$57,D78=$M$63,D78=$M$56,D78=$M$64,D78=$M$62,D78=$M$65),0.2,IF(D78=$M$66,0.1,0)))))))</f>
        <v>0</v>
      </c>
      <c r="M78" s="4"/>
      <c r="N78">
        <f>IF(OR(D78=$M$53,D78=$M$52,D78=$M$54,D78=$M$55),1,0)</f>
        <v>0</v>
      </c>
      <c r="O78">
        <f t="shared" si="0"/>
        <v>0</v>
      </c>
      <c r="P78" s="1967">
        <f>MIN(1,SUM(O78:O80))</f>
        <v>0</v>
      </c>
    </row>
    <row r="79" spans="1:16" ht="15" x14ac:dyDescent="0.25">
      <c r="A79" s="4"/>
      <c r="B79" s="1937"/>
      <c r="C79" s="1934"/>
      <c r="D79" s="1324" t="s">
        <v>62</v>
      </c>
      <c r="E79" s="1021"/>
      <c r="F79" s="693">
        <f>IF(AND(P78=1,O79=1),MIN(1,L79),0)</f>
        <v>0</v>
      </c>
      <c r="G79" s="1940"/>
      <c r="H79" s="1648"/>
      <c r="I79" s="1648"/>
      <c r="J79" s="1648"/>
      <c r="K79" s="4"/>
      <c r="L79" s="4">
        <f>IF(N79=1,E79,1)*IF(OR(D79=$M$51,D79=$M$52,D79=$M$53,D79=$M$54,D79=$M$58),1,IF(D79=$M$59,0.8,IF(D79=$M$60,0.6,IF(D79=$M$61,0.4,IF(D79=$M$55,0.5,IF(OR(D79=$M$57,D79=$M$63,D79=$M$56,D79=$M$64,D79=$M$62,D79=$M$65),0.2,IF(D79=$M$66,0.1,0)))))))</f>
        <v>0</v>
      </c>
      <c r="M79" s="4"/>
      <c r="N79">
        <f>IF(OR(D79=$M$53,D79=$M$52,D79=$M$54,D79=$M$55),1,0)</f>
        <v>0</v>
      </c>
      <c r="O79">
        <f t="shared" si="0"/>
        <v>0</v>
      </c>
      <c r="P79" s="1967"/>
    </row>
    <row r="80" spans="1:16" ht="15.75" thickBot="1" x14ac:dyDescent="0.3">
      <c r="A80" s="4"/>
      <c r="B80" s="1938"/>
      <c r="C80" s="1935"/>
      <c r="D80" s="1311" t="s">
        <v>62</v>
      </c>
      <c r="E80" s="1246"/>
      <c r="F80" s="1322">
        <f>IF(AND(P78=1,O80=1),MIN(1,L80),0)</f>
        <v>0</v>
      </c>
      <c r="G80" s="1941"/>
      <c r="H80" s="1930"/>
      <c r="I80" s="1930"/>
      <c r="J80" s="1930"/>
      <c r="K80" s="4"/>
      <c r="L80" s="4">
        <f>IF(N80=1,E80,1)*IF(OR(D80=$M$51,D80=$M$52,D80=$M$53,D80=$M$54,D80=$M$58),1,IF(D80=$M$59,0.8,IF(D80=$M$60,0.6,IF(D80=$M$61,0.4,IF(D80=$M$55,0.5,IF(OR(D80=$M$57,D80=$M$63,D80=$M$56,D80=$M$64,D80=$M$62,D80=$M$65),0.2,IF(D80=$M$66,0.1,0)))))))</f>
        <v>0</v>
      </c>
      <c r="M80" s="4"/>
      <c r="N80">
        <f>IF(OR(D80=$M$53,D80=$M$52,D80=$M$54,D80=$M$55),1,0)</f>
        <v>0</v>
      </c>
      <c r="O80">
        <f t="shared" si="0"/>
        <v>0</v>
      </c>
      <c r="P80" s="1967"/>
    </row>
    <row r="81" spans="1:16" ht="15" x14ac:dyDescent="0.25">
      <c r="A81" s="4"/>
      <c r="B81" s="2600"/>
      <c r="C81" s="2599"/>
      <c r="D81" s="1323" t="s">
        <v>62</v>
      </c>
      <c r="E81" s="1021"/>
      <c r="F81" s="693">
        <f>IF(AND(P81=1,O81=1),MIN(1,L81),0)</f>
        <v>0</v>
      </c>
      <c r="G81" s="1939">
        <f>IF(P81=1,MIN(C81,C81*(F81*O81+F82*O82+F83*O83)),MIN(C81,C81*(F81+F82+F83)))</f>
        <v>0</v>
      </c>
      <c r="H81" s="1648"/>
      <c r="I81" s="1648"/>
      <c r="J81" s="1648"/>
      <c r="K81" s="4"/>
      <c r="L81" s="4">
        <f>IF(N81=1,E81,1)*IF(OR(D81=$M$51,D81=$M$52,D81=$M$53,D81=$M$54,D81=$M$58),1,IF(D81=$M$59,0.8,IF(D81=$M$60,0.6,IF(D81=$M$61,0.4,IF(D81=$M$55,0.5,IF(OR(D81=$M$57,D81=$M$63,D81=$M$56,D81=$M$64,D81=$M$62,D81=$M$65),0.2,IF(D81=$M$66,0.1,0)))))))</f>
        <v>0</v>
      </c>
      <c r="M81" s="4"/>
      <c r="N81">
        <f>IF(OR(D81=$M$53,D81=$M$52,D81=$M$54,D81=$M$55),1,0)</f>
        <v>0</v>
      </c>
      <c r="O81">
        <f t="shared" si="0"/>
        <v>0</v>
      </c>
      <c r="P81" s="1967">
        <f>MIN(1,SUM(O81:O83))</f>
        <v>0</v>
      </c>
    </row>
    <row r="82" spans="1:16" ht="15" x14ac:dyDescent="0.25">
      <c r="A82" s="4"/>
      <c r="B82" s="1937"/>
      <c r="C82" s="1934"/>
      <c r="D82" s="1324" t="s">
        <v>62</v>
      </c>
      <c r="E82" s="1021"/>
      <c r="F82" s="693">
        <f>IF(AND(P81=1,O82=1),MIN(1,L82),0)</f>
        <v>0</v>
      </c>
      <c r="G82" s="1940"/>
      <c r="H82" s="1648"/>
      <c r="I82" s="1648"/>
      <c r="J82" s="1648"/>
      <c r="K82" s="4"/>
      <c r="L82" s="4">
        <f>IF(N82=1,E82,1)*IF(OR(D82=$M$51,D82=$M$52,D82=$M$53,D82=$M$54,D82=$M$58),1,IF(D82=$M$59,0.8,IF(D82=$M$60,0.6,IF(D82=$M$61,0.4,IF(D82=$M$55,0.5,IF(OR(D82=$M$57,D82=$M$63,D82=$M$56,D82=$M$64,D82=$M$62,D82=$M$65),0.2,IF(D82=$M$66,0.1,0)))))))</f>
        <v>0</v>
      </c>
      <c r="M82" s="4"/>
      <c r="N82">
        <f>IF(OR(D82=$M$53,D82=$M$52,D82=$M$54,D82=$M$55),1,0)</f>
        <v>0</v>
      </c>
      <c r="O82">
        <f t="shared" si="0"/>
        <v>0</v>
      </c>
      <c r="P82" s="1967"/>
    </row>
    <row r="83" spans="1:16" ht="15.75" thickBot="1" x14ac:dyDescent="0.3">
      <c r="A83" s="4"/>
      <c r="B83" s="1938"/>
      <c r="C83" s="1935"/>
      <c r="D83" s="1311" t="s">
        <v>62</v>
      </c>
      <c r="E83" s="1246"/>
      <c r="F83" s="1322">
        <f>IF(AND(P81=1,O83=1),MIN(1,L83),0)</f>
        <v>0</v>
      </c>
      <c r="G83" s="1941"/>
      <c r="H83" s="1930"/>
      <c r="I83" s="1930"/>
      <c r="J83" s="1930"/>
      <c r="K83" s="4"/>
      <c r="L83" s="4">
        <f>IF(N83=1,E83,1)*IF(OR(D83=$M$51,D83=$M$52,D83=$M$53,D83=$M$54,D83=$M$58),1,IF(D83=$M$59,0.8,IF(D83=$M$60,0.6,IF(D83=$M$61,0.4,IF(D83=$M$55,0.5,IF(OR(D83=$M$57,D83=$M$63,D83=$M$56,D83=$M$64,D83=$M$62,D83=$M$65),0.2,IF(D83=$M$66,0.1,0)))))))</f>
        <v>0</v>
      </c>
      <c r="M83" s="4"/>
      <c r="N83">
        <f>IF(OR(D83=$M$53,D83=$M$52,D83=$M$54,D83=$M$55),1,0)</f>
        <v>0</v>
      </c>
      <c r="O83">
        <f t="shared" si="0"/>
        <v>0</v>
      </c>
      <c r="P83" s="1967"/>
    </row>
    <row r="84" spans="1:16" ht="15" x14ac:dyDescent="0.25">
      <c r="A84" s="4"/>
      <c r="B84" s="2600"/>
      <c r="C84" s="2599"/>
      <c r="D84" s="1323" t="s">
        <v>62</v>
      </c>
      <c r="E84" s="1021"/>
      <c r="F84" s="693">
        <f>IF(AND(P84=1,O84=1),MIN(1,L84),0)</f>
        <v>0</v>
      </c>
      <c r="G84" s="1939">
        <f>IF(P84=1,MIN(C84,C84*(F84*O84+F85*O85+F86*O86)),MIN(C84,C84*(F84+F85+F86)))</f>
        <v>0</v>
      </c>
      <c r="H84" s="1648"/>
      <c r="I84" s="1648"/>
      <c r="J84" s="1648"/>
      <c r="K84" s="4"/>
      <c r="L84" s="4">
        <f>IF(N84=1,E84,1)*IF(OR(D84=$M$51,D84=$M$52,D84=$M$53,D84=$M$54,D84=$M$58),1,IF(D84=$M$59,0.8,IF(D84=$M$60,0.6,IF(D84=$M$61,0.4,IF(D84=$M$55,0.5,IF(OR(D84=$M$57,D84=$M$63,D84=$M$56,D84=$M$64,D84=$M$62,D84=$M$65),0.2,IF(D84=$M$66,0.1,0)))))))</f>
        <v>0</v>
      </c>
      <c r="M84" s="4"/>
      <c r="N84">
        <f>IF(OR(D84=$M$53,D84=$M$52,D84=$M$54,D84=$M$55),1,0)</f>
        <v>0</v>
      </c>
      <c r="O84">
        <f t="shared" si="0"/>
        <v>0</v>
      </c>
      <c r="P84" s="1967">
        <f>MIN(1,SUM(O84:O86))</f>
        <v>0</v>
      </c>
    </row>
    <row r="85" spans="1:16" ht="15" x14ac:dyDescent="0.25">
      <c r="A85" s="4"/>
      <c r="B85" s="1937"/>
      <c r="C85" s="1934"/>
      <c r="D85" s="1324" t="s">
        <v>62</v>
      </c>
      <c r="E85" s="1021"/>
      <c r="F85" s="693">
        <f>IF(AND(P84=1,O85=1),MIN(1,L85),0)</f>
        <v>0</v>
      </c>
      <c r="G85" s="1940"/>
      <c r="H85" s="1648"/>
      <c r="I85" s="1648"/>
      <c r="J85" s="1648"/>
      <c r="K85" s="4"/>
      <c r="L85" s="4">
        <f>IF(N85=1,E85,1)*IF(OR(D85=$M$51,D85=$M$52,D85=$M$53,D85=$M$54,D85=$M$58),1,IF(D85=$M$59,0.8,IF(D85=$M$60,0.6,IF(D85=$M$61,0.4,IF(D85=$M$55,0.5,IF(OR(D85=$M$57,D85=$M$63,D85=$M$56,D85=$M$64,D85=$M$62,D85=$M$65),0.2,IF(D85=$M$66,0.1,0)))))))</f>
        <v>0</v>
      </c>
      <c r="M85" s="4"/>
      <c r="N85">
        <f>IF(OR(D85=$M$53,D85=$M$52,D85=$M$54,D85=$M$55),1,0)</f>
        <v>0</v>
      </c>
      <c r="O85">
        <f t="shared" si="0"/>
        <v>0</v>
      </c>
      <c r="P85" s="1967"/>
    </row>
    <row r="86" spans="1:16" ht="15.75" thickBot="1" x14ac:dyDescent="0.3">
      <c r="A86" s="4"/>
      <c r="B86" s="1938"/>
      <c r="C86" s="1935"/>
      <c r="D86" s="1311" t="s">
        <v>62</v>
      </c>
      <c r="E86" s="1246"/>
      <c r="F86" s="1322">
        <f>IF(AND(P84=1,O86=1),MIN(1,L86),0)</f>
        <v>0</v>
      </c>
      <c r="G86" s="1941"/>
      <c r="H86" s="1930"/>
      <c r="I86" s="1930"/>
      <c r="J86" s="1930"/>
      <c r="K86" s="4"/>
      <c r="L86" s="4">
        <f>IF(N86=1,E86,1)*IF(OR(D86=$M$51,D86=$M$52,D86=$M$53,D86=$M$54,D86=$M$58),1,IF(D86=$M$59,0.8,IF(D86=$M$60,0.6,IF(D86=$M$61,0.4,IF(D86=$M$55,0.5,IF(OR(D86=$M$57,D86=$M$63,D86=$M$56,D86=$M$64,D86=$M$62,D86=$M$65),0.2,IF(D86=$M$66,0.1,0)))))))</f>
        <v>0</v>
      </c>
      <c r="M86" s="4"/>
      <c r="N86">
        <f>IF(OR(D86=$M$53,D86=$M$52,D86=$M$54,D86=$M$55),1,0)</f>
        <v>0</v>
      </c>
      <c r="O86">
        <f t="shared" si="0"/>
        <v>0</v>
      </c>
      <c r="P86" s="1967"/>
    </row>
    <row r="87" spans="1:16" ht="15" x14ac:dyDescent="0.25">
      <c r="A87" s="4"/>
      <c r="B87" s="2600"/>
      <c r="C87" s="2599"/>
      <c r="D87" s="1323" t="s">
        <v>62</v>
      </c>
      <c r="E87" s="1021"/>
      <c r="F87" s="693">
        <f>IF(AND(P87=1,O87=1),MIN(1,L87),0)</f>
        <v>0</v>
      </c>
      <c r="G87" s="1939">
        <f>IF(P87=1,MIN(C87,C87*(F87*O87+F88*O88+F89*O89)),MIN(C87,C87*(F87+F88+F89)))</f>
        <v>0</v>
      </c>
      <c r="H87" s="1648"/>
      <c r="I87" s="1648"/>
      <c r="J87" s="1648"/>
      <c r="K87" s="4"/>
      <c r="L87" s="4">
        <f>IF(N87=1,E87,1)*IF(OR(D87=$M$51,D87=$M$52,D87=$M$53,D87=$M$54,D87=$M$58),1,IF(D87=$M$59,0.8,IF(D87=$M$60,0.6,IF(D87=$M$61,0.4,IF(D87=$M$55,0.5,IF(OR(D87=$M$57,D87=$M$63,D87=$M$56,D87=$M$64,D87=$M$62,D87=$M$65),0.2,IF(D87=$M$66,0.1,0)))))))</f>
        <v>0</v>
      </c>
      <c r="M87" s="4"/>
      <c r="N87">
        <f>IF(OR(D87=$M$53,D87=$M$52,D87=$M$54,D87=$M$55),1,0)</f>
        <v>0</v>
      </c>
      <c r="O87">
        <f t="shared" si="0"/>
        <v>0</v>
      </c>
      <c r="P87" s="1967">
        <f>MIN(1,SUM(O87:O89))</f>
        <v>0</v>
      </c>
    </row>
    <row r="88" spans="1:16" ht="15" x14ac:dyDescent="0.25">
      <c r="A88" s="4"/>
      <c r="B88" s="1937"/>
      <c r="C88" s="1934"/>
      <c r="D88" s="1324" t="s">
        <v>62</v>
      </c>
      <c r="E88" s="1021"/>
      <c r="F88" s="693">
        <f>IF(AND(P87=1,O88=1),MIN(1,L88),0)</f>
        <v>0</v>
      </c>
      <c r="G88" s="1940"/>
      <c r="H88" s="1648"/>
      <c r="I88" s="1648"/>
      <c r="J88" s="1648"/>
      <c r="K88" s="4"/>
      <c r="L88" s="4">
        <f>IF(N88=1,E88,1)*IF(OR(D88=$M$51,D88=$M$52,D88=$M$53,D88=$M$54,D88=$M$58),1,IF(D88=$M$59,0.8,IF(D88=$M$60,0.6,IF(D88=$M$61,0.4,IF(D88=$M$55,0.5,IF(OR(D88=$M$57,D88=$M$63,D88=$M$56,D88=$M$64,D88=$M$62,D88=$M$65),0.2,IF(D88=$M$66,0.1,0)))))))</f>
        <v>0</v>
      </c>
      <c r="M88" s="4"/>
      <c r="N88">
        <f>IF(OR(D88=$M$53,D88=$M$52,D88=$M$54,D88=$M$55),1,0)</f>
        <v>0</v>
      </c>
      <c r="O88">
        <f t="shared" si="0"/>
        <v>0</v>
      </c>
      <c r="P88" s="1967"/>
    </row>
    <row r="89" spans="1:16" ht="15.75" thickBot="1" x14ac:dyDescent="0.3">
      <c r="A89" s="4"/>
      <c r="B89" s="1938"/>
      <c r="C89" s="1935"/>
      <c r="D89" s="1311" t="s">
        <v>62</v>
      </c>
      <c r="E89" s="1246"/>
      <c r="F89" s="1320">
        <f>IF(AND(P87=1,O89=1),MIN(1,L89),0)</f>
        <v>0</v>
      </c>
      <c r="G89" s="1941"/>
      <c r="H89" s="1930"/>
      <c r="I89" s="1930"/>
      <c r="J89" s="1930"/>
      <c r="K89" s="4"/>
      <c r="L89" s="4">
        <f>IF(N89=1,E89,1)*IF(OR(D89=$M$51,D89=$M$52,D89=$M$53,D89=$M$54,D89=$M$58),1,IF(D89=$M$59,0.8,IF(D89=$M$60,0.6,IF(D89=$M$61,0.4,IF(D89=$M$55,0.5,IF(OR(D89=$M$57,D89=$M$63,D89=$M$56,D89=$M$64,D89=$M$62,D89=$M$65),0.2,IF(D89=$M$66,0.1,0)))))))</f>
        <v>0</v>
      </c>
      <c r="M89" s="4"/>
      <c r="N89">
        <f>IF(OR(D89=$M$53,D89=$M$52,D89=$M$54,D89=$M$55),1,0)</f>
        <v>0</v>
      </c>
      <c r="O89">
        <f t="shared" si="0"/>
        <v>0</v>
      </c>
      <c r="P89" s="1967"/>
    </row>
    <row r="90" spans="1:16" ht="15" x14ac:dyDescent="0.25">
      <c r="A90" s="4"/>
      <c r="B90" s="2600"/>
      <c r="C90" s="2599"/>
      <c r="D90" s="1323" t="s">
        <v>62</v>
      </c>
      <c r="E90" s="1021"/>
      <c r="F90" s="1321">
        <f>IF(AND(P90=1,O90=1),MIN(1,L90),0)</f>
        <v>0</v>
      </c>
      <c r="G90" s="1939">
        <f>IF(P90=1,MIN(C90,C90*(F90*O90+F91*O91+F92*O92)),MIN(C90,C90*(F90+F91+F92)))</f>
        <v>0</v>
      </c>
      <c r="H90" s="1648"/>
      <c r="I90" s="1648"/>
      <c r="J90" s="1648"/>
      <c r="K90" s="4"/>
      <c r="L90" s="4">
        <f>IF(N90=1,E90,1)*IF(OR(D90=$M$51,D90=$M$52,D90=$M$53,D90=$M$54,D90=$M$58),1,IF(D90=$M$59,0.8,IF(D90=$M$60,0.6,IF(D90=$M$61,0.4,IF(D90=$M$55,0.5,IF(OR(D90=$M$57,D90=$M$63,D90=$M$56,D90=$M$64,D90=$M$62,D90=$M$65),0.2,IF(D90=$M$66,0.1,0)))))))</f>
        <v>0</v>
      </c>
      <c r="M90" s="4"/>
      <c r="N90">
        <f>IF(OR(D90=$M$53,D90=$M$52,D90=$M$54,D90=$M$55),1,0)</f>
        <v>0</v>
      </c>
      <c r="O90">
        <f t="shared" si="0"/>
        <v>0</v>
      </c>
      <c r="P90" s="1967">
        <f>MIN(1,SUM(O90:O92))</f>
        <v>0</v>
      </c>
    </row>
    <row r="91" spans="1:16" ht="15" x14ac:dyDescent="0.25">
      <c r="A91" s="4"/>
      <c r="B91" s="1937"/>
      <c r="C91" s="1934"/>
      <c r="D91" s="1324" t="s">
        <v>62</v>
      </c>
      <c r="E91" s="1021"/>
      <c r="F91" s="693">
        <f>IF(AND(P90=1,O91=1),MIN(1,L91),0)</f>
        <v>0</v>
      </c>
      <c r="G91" s="1940"/>
      <c r="H91" s="1648"/>
      <c r="I91" s="1648"/>
      <c r="J91" s="1648"/>
      <c r="K91" s="4"/>
      <c r="L91" s="4">
        <f>IF(N91=1,E91,1)*IF(OR(D91=$M$51,D91=$M$52,D91=$M$53,D91=$M$54,D91=$M$58),1,IF(D91=$M$59,0.8,IF(D91=$M$60,0.6,IF(D91=$M$61,0.4,IF(D91=$M$55,0.5,IF(OR(D91=$M$57,D91=$M$63,D91=$M$56,D91=$M$64,D91=$M$62,D91=$M$65),0.2,IF(D91=$M$66,0.1,0)))))))</f>
        <v>0</v>
      </c>
      <c r="M91" s="4"/>
      <c r="N91">
        <f>IF(OR(D91=$M$53,D91=$M$52,D91=$M$54,D91=$M$55),1,0)</f>
        <v>0</v>
      </c>
      <c r="O91">
        <f t="shared" si="0"/>
        <v>0</v>
      </c>
      <c r="P91" s="1967"/>
    </row>
    <row r="92" spans="1:16" ht="15.75" thickBot="1" x14ac:dyDescent="0.3">
      <c r="A92" s="4"/>
      <c r="B92" s="1938"/>
      <c r="C92" s="1935"/>
      <c r="D92" s="1311" t="s">
        <v>62</v>
      </c>
      <c r="E92" s="1246"/>
      <c r="F92" s="1322">
        <f>IF(AND(P90=1,O92=1),MIN(1,L92),0)</f>
        <v>0</v>
      </c>
      <c r="G92" s="1941"/>
      <c r="H92" s="1930"/>
      <c r="I92" s="1930"/>
      <c r="J92" s="1930"/>
      <c r="K92" s="4"/>
      <c r="L92" s="4">
        <f>IF(N92=1,E92,1)*IF(OR(D92=$M$51,D92=$M$52,D92=$M$53,D92=$M$54,D92=$M$58),1,IF(D92=$M$59,0.8,IF(D92=$M$60,0.6,IF(D92=$M$61,0.4,IF(D92=$M$55,0.5,IF(OR(D92=$M$57,D92=$M$63,D92=$M$56,D92=$M$64,D92=$M$62,D92=$M$65),0.2,IF(D92=$M$66,0.1,0)))))))</f>
        <v>0</v>
      </c>
      <c r="M92" s="4"/>
      <c r="N92">
        <f>IF(OR(D92=$M$53,D92=$M$52,D92=$M$54,D92=$M$55),1,0)</f>
        <v>0</v>
      </c>
      <c r="O92">
        <f t="shared" si="0"/>
        <v>0</v>
      </c>
      <c r="P92" s="1967"/>
    </row>
    <row r="93" spans="1:16" ht="15" x14ac:dyDescent="0.25">
      <c r="A93" s="4"/>
      <c r="B93" s="2600"/>
      <c r="C93" s="2599"/>
      <c r="D93" s="1323" t="s">
        <v>62</v>
      </c>
      <c r="E93" s="1021"/>
      <c r="F93" s="693">
        <f>IF(AND(P93=1,O93=1),MIN(1,L93),0)</f>
        <v>0</v>
      </c>
      <c r="G93" s="1939">
        <f>IF(P93=1,MIN(C93,C93*(F93*O93+F94*O94+F95*O95)),MIN(C93,C93*(F93+F94+F95)))</f>
        <v>0</v>
      </c>
      <c r="H93" s="1648"/>
      <c r="I93" s="1648"/>
      <c r="J93" s="1648"/>
      <c r="K93" s="4"/>
      <c r="L93" s="4">
        <f>IF(N93=1,E93,1)*IF(OR(D93=$M$51,D93=$M$52,D93=$M$53,D93=$M$54,D93=$M$58),1,IF(D93=$M$59,0.8,IF(D93=$M$60,0.6,IF(D93=$M$61,0.4,IF(D93=$M$55,0.5,IF(OR(D93=$M$57,D93=$M$63,D93=$M$56,D93=$M$64,D93=$M$62,D93=$M$65),0.2,IF(D93=$M$66,0.1,0)))))))</f>
        <v>0</v>
      </c>
      <c r="M93" s="4"/>
      <c r="N93">
        <f>IF(OR(D93=$M$53,D93=$M$52,D93=$M$54,D93=$M$55),1,0)</f>
        <v>0</v>
      </c>
      <c r="O93">
        <f t="shared" si="0"/>
        <v>0</v>
      </c>
      <c r="P93" s="1967">
        <f>MIN(1,SUM(O93:O95))</f>
        <v>0</v>
      </c>
    </row>
    <row r="94" spans="1:16" ht="15" x14ac:dyDescent="0.25">
      <c r="A94" s="4"/>
      <c r="B94" s="1937"/>
      <c r="C94" s="1934"/>
      <c r="D94" s="1324" t="s">
        <v>62</v>
      </c>
      <c r="E94" s="1021"/>
      <c r="F94" s="693">
        <f>IF(AND(P93=1,O94=1),MIN(1,L94),0)</f>
        <v>0</v>
      </c>
      <c r="G94" s="1940"/>
      <c r="H94" s="1648"/>
      <c r="I94" s="1648"/>
      <c r="J94" s="1648"/>
      <c r="K94" s="4"/>
      <c r="L94" s="4">
        <f>IF(N94=1,E94,1)*IF(OR(D94=$M$51,D94=$M$52,D94=$M$53,D94=$M$54,D94=$M$58),1,IF(D94=$M$59,0.8,IF(D94=$M$60,0.6,IF(D94=$M$61,0.4,IF(D94=$M$55,0.5,IF(OR(D94=$M$57,D94=$M$63,D94=$M$56,D94=$M$64,D94=$M$62,D94=$M$65),0.2,IF(D94=$M$66,0.1,0)))))))</f>
        <v>0</v>
      </c>
      <c r="M94" s="4"/>
      <c r="N94">
        <f>IF(OR(D94=$M$53,D94=$M$52,D94=$M$54,D94=$M$55),1,0)</f>
        <v>0</v>
      </c>
      <c r="O94">
        <f t="shared" si="0"/>
        <v>0</v>
      </c>
      <c r="P94" s="1967"/>
    </row>
    <row r="95" spans="1:16" ht="15.75" thickBot="1" x14ac:dyDescent="0.3">
      <c r="A95" s="4"/>
      <c r="B95" s="1938"/>
      <c r="C95" s="1935"/>
      <c r="D95" s="1311" t="s">
        <v>62</v>
      </c>
      <c r="E95" s="1246"/>
      <c r="F95" s="1322">
        <f>IF(AND(P93=1,O95=1),MIN(1,L95),0)</f>
        <v>0</v>
      </c>
      <c r="G95" s="1941"/>
      <c r="H95" s="1930"/>
      <c r="I95" s="1930"/>
      <c r="J95" s="1930"/>
      <c r="K95" s="4"/>
      <c r="L95" s="4">
        <f>IF(N95=1,E95,1)*IF(OR(D95=$M$51,D95=$M$52,D95=$M$53,D95=$M$54,D95=$M$58),1,IF(D95=$M$59,0.8,IF(D95=$M$60,0.6,IF(D95=$M$61,0.4,IF(D95=$M$55,0.5,IF(OR(D95=$M$57,D95=$M$63,D95=$M$56,D95=$M$64,D95=$M$62,D95=$M$65),0.2,IF(D95=$M$66,0.1,0)))))))</f>
        <v>0</v>
      </c>
      <c r="M95" s="4"/>
      <c r="N95">
        <f>IF(OR(D95=$M$53,D95=$M$52,D95=$M$54,D95=$M$55),1,0)</f>
        <v>0</v>
      </c>
      <c r="O95">
        <f t="shared" si="0"/>
        <v>0</v>
      </c>
      <c r="P95" s="1967"/>
    </row>
    <row r="96" spans="1:16" ht="15" x14ac:dyDescent="0.25">
      <c r="A96" s="4"/>
      <c r="B96" s="1936"/>
      <c r="C96" s="1933"/>
      <c r="D96" s="1306" t="s">
        <v>62</v>
      </c>
      <c r="E96" s="1021"/>
      <c r="F96" s="693">
        <f>IF(AND(P96=1,O96=1),MIN(1,L96),0)</f>
        <v>0</v>
      </c>
      <c r="G96" s="1939">
        <f>IF(P96=1,MIN(C96,C96*(F96*O96+F97*O97+F98*O98)),MIN(C96,C96*(F96+F97+F98)))</f>
        <v>0</v>
      </c>
      <c r="H96" s="1648"/>
      <c r="I96" s="1648"/>
      <c r="J96" s="1648"/>
      <c r="K96" s="4"/>
      <c r="L96" s="4">
        <f>IF(N96=1,E96,1)*IF(OR(D96=$M$51,D96=$M$52,D96=$M$53,D96=$M$54,D96=$M$58),1,IF(D96=$M$59,0.8,IF(D96=$M$60,0.6,IF(D96=$M$61,0.4,IF(D96=$M$55,0.5,IF(OR(D96=$M$57,D96=$M$63,D96=$M$56,D96=$M$64,D96=$M$62,D96=$M$65),0.2,IF(D96=$M$66,0.1,0)))))))</f>
        <v>0</v>
      </c>
      <c r="M96" s="4"/>
      <c r="N96">
        <f>IF(OR(D96=$M$53,D96=$M$52,D96=$M$54,D96=$M$55),1,0)</f>
        <v>0</v>
      </c>
      <c r="O96">
        <f t="shared" si="0"/>
        <v>0</v>
      </c>
      <c r="P96" s="1967">
        <f>MIN(1,SUM(O96:O98))</f>
        <v>0</v>
      </c>
    </row>
    <row r="97" spans="1:16" ht="15" x14ac:dyDescent="0.25">
      <c r="A97" s="4"/>
      <c r="B97" s="1937"/>
      <c r="C97" s="1934"/>
      <c r="D97" s="1307" t="s">
        <v>62</v>
      </c>
      <c r="E97" s="1021"/>
      <c r="F97" s="693">
        <f>IF(AND(P96=1,O97=1),MIN(1,L97),0)</f>
        <v>0</v>
      </c>
      <c r="G97" s="1940"/>
      <c r="H97" s="1648"/>
      <c r="I97" s="1648"/>
      <c r="J97" s="1648"/>
      <c r="K97" s="4"/>
      <c r="L97" s="4">
        <f>IF(N97=1,E97,1)*IF(OR(D97=$M$51,D97=$M$52,D97=$M$53,D97=$M$54,D97=$M$58),1,IF(D97=$M$59,0.8,IF(D97=$M$60,0.6,IF(D97=$M$61,0.4,IF(D97=$M$55,0.5,IF(OR(D97=$M$57,D97=$M$63,D97=$M$56,D97=$M$64,D97=$M$62,D97=$M$65),0.2,IF(D97=$M$66,0.1,0)))))))</f>
        <v>0</v>
      </c>
      <c r="M97" s="4"/>
      <c r="N97">
        <f>IF(OR(D97=$M$53,D97=$M$52,D97=$M$54,D97=$M$55),1,0)</f>
        <v>0</v>
      </c>
      <c r="O97">
        <f t="shared" si="0"/>
        <v>0</v>
      </c>
      <c r="P97" s="1967"/>
    </row>
    <row r="98" spans="1:16" ht="15.75" thickBot="1" x14ac:dyDescent="0.3">
      <c r="A98" s="4"/>
      <c r="B98" s="1938"/>
      <c r="C98" s="1935"/>
      <c r="D98" s="1311" t="s">
        <v>62</v>
      </c>
      <c r="E98" s="1246"/>
      <c r="F98" s="1320">
        <f>IF(AND(P96=1,O98=1),MIN(1,L98),0)</f>
        <v>0</v>
      </c>
      <c r="G98" s="1941"/>
      <c r="H98" s="1930"/>
      <c r="I98" s="1930"/>
      <c r="J98" s="1930"/>
      <c r="K98" s="4"/>
      <c r="L98" s="4">
        <f>IF(N98=1,E98,1)*IF(OR(D98=$M$51,D98=$M$52,D98=$M$53,D98=$M$54,D98=$M$58),1,IF(D98=$M$59,0.8,IF(D98=$M$60,0.6,IF(D98=$M$61,0.4,IF(D98=$M$55,0.5,IF(OR(D98=$M$57,D98=$M$63,D98=$M$56,D98=$M$64,D98=$M$62,D98=$M$65),0.2,IF(D98=$M$66,0.1,0)))))))</f>
        <v>0</v>
      </c>
      <c r="M98" s="4"/>
      <c r="N98">
        <f>IF(OR(D98=$M$53,D98=$M$52,D98=$M$54,D98=$M$55),1,0)</f>
        <v>0</v>
      </c>
      <c r="O98">
        <f t="shared" si="0"/>
        <v>0</v>
      </c>
      <c r="P98" s="1967"/>
    </row>
    <row r="99" spans="1:16" ht="15" x14ac:dyDescent="0.25">
      <c r="A99" s="4"/>
      <c r="B99" s="1936"/>
      <c r="C99" s="1933"/>
      <c r="D99" s="1306" t="s">
        <v>62</v>
      </c>
      <c r="E99" s="1021"/>
      <c r="F99" s="1321">
        <f>IF(AND(P99=1,O99=1),MIN(1,L99),0)</f>
        <v>0</v>
      </c>
      <c r="G99" s="1939">
        <f>IF(P99=1,MIN(C99,C99*(F99*O99+F100*O100+F101*O101)),MIN(C99,C99*(F99+F100+F101)))</f>
        <v>0</v>
      </c>
      <c r="H99" s="1648"/>
      <c r="I99" s="1648"/>
      <c r="J99" s="1648"/>
      <c r="K99" s="4"/>
      <c r="L99" s="4">
        <f>IF(N99=1,E99,1)*IF(OR(D99=$M$51,D99=$M$52,D99=$M$53,D99=$M$54,D99=$M$58),1,IF(D99=$M$59,0.8,IF(D99=$M$60,0.6,IF(D99=$M$61,0.4,IF(D99=$M$55,0.5,IF(OR(D99=$M$57,D99=$M$63,D99=$M$56,D99=$M$64,D99=$M$62,D99=$M$65),0.2,IF(D99=$M$66,0.1,0)))))))</f>
        <v>0</v>
      </c>
      <c r="M99" s="4"/>
      <c r="N99">
        <f>IF(OR(D99=$M$53,D99=$M$52,D99=$M$54,D99=$M$55),1,0)</f>
        <v>0</v>
      </c>
      <c r="O99">
        <f t="shared" si="0"/>
        <v>0</v>
      </c>
      <c r="P99" s="1967">
        <f>MIN(1,SUM(O99:O101))</f>
        <v>0</v>
      </c>
    </row>
    <row r="100" spans="1:16" ht="15" x14ac:dyDescent="0.25">
      <c r="A100" s="4"/>
      <c r="B100" s="1937"/>
      <c r="C100" s="1934"/>
      <c r="D100" s="1307" t="s">
        <v>62</v>
      </c>
      <c r="E100" s="1021"/>
      <c r="F100" s="693">
        <f>IF(AND(P99=1,O100=1),MIN(1,L100),0)</f>
        <v>0</v>
      </c>
      <c r="G100" s="1940"/>
      <c r="H100" s="1648"/>
      <c r="I100" s="1648"/>
      <c r="J100" s="1648"/>
      <c r="K100" s="4"/>
      <c r="L100" s="4">
        <f>IF(N100=1,E100,1)*IF(OR(D100=$M$51,D100=$M$52,D100=$M$53,D100=$M$54,D100=$M$58),1,IF(D100=$M$59,0.8,IF(D100=$M$60,0.6,IF(D100=$M$61,0.4,IF(D100=$M$55,0.5,IF(OR(D100=$M$57,D100=$M$63,D100=$M$56,D100=$M$64,D100=$M$62,D100=$M$65),0.2,IF(D100=$M$66,0.1,0)))))))</f>
        <v>0</v>
      </c>
      <c r="M100" s="4"/>
      <c r="N100">
        <f>IF(OR(D100=$M$53,D100=$M$52,D100=$M$54,D100=$M$55),1,0)</f>
        <v>0</v>
      </c>
      <c r="O100">
        <f t="shared" si="0"/>
        <v>0</v>
      </c>
      <c r="P100" s="1967"/>
    </row>
    <row r="101" spans="1:16" ht="15.75" thickBot="1" x14ac:dyDescent="0.3">
      <c r="A101" s="4"/>
      <c r="B101" s="1938"/>
      <c r="C101" s="1935"/>
      <c r="D101" s="1311" t="s">
        <v>62</v>
      </c>
      <c r="E101" s="1246"/>
      <c r="F101" s="1320">
        <f>IF(AND(P99=1,O101=1),MIN(1,L101),0)</f>
        <v>0</v>
      </c>
      <c r="G101" s="1941"/>
      <c r="H101" s="1930"/>
      <c r="I101" s="1930"/>
      <c r="J101" s="1930"/>
      <c r="K101" s="4"/>
      <c r="L101" s="4">
        <f>IF(N101=1,E101,1)*IF(OR(D101=$M$51,D101=$M$52,D101=$M$53,D101=$M$54,D101=$M$58),1,IF(D101=$M$59,0.8,IF(D101=$M$60,0.6,IF(D101=$M$61,0.4,IF(D101=$M$55,0.5,IF(OR(D101=$M$57,D101=$M$63,D101=$M$56,D101=$M$64,D101=$M$62,D101=$M$65),0.2,IF(D101=$M$66,0.1,0)))))))</f>
        <v>0</v>
      </c>
      <c r="M101" s="4"/>
      <c r="N101">
        <f>IF(OR(D101=$M$53,D101=$M$52,D101=$M$54,D101=$M$55),1,0)</f>
        <v>0</v>
      </c>
      <c r="O101">
        <f t="shared" si="0"/>
        <v>0</v>
      </c>
      <c r="P101" s="1967"/>
    </row>
    <row r="102" spans="1:16" ht="15" x14ac:dyDescent="0.25">
      <c r="A102" s="4"/>
      <c r="B102" s="1936"/>
      <c r="C102" s="1933"/>
      <c r="D102" s="1306" t="s">
        <v>62</v>
      </c>
      <c r="E102" s="1021"/>
      <c r="F102" s="1321">
        <f>IF(AND(P102=1,O102=1),MIN(1,L102),0)</f>
        <v>0</v>
      </c>
      <c r="G102" s="1939">
        <f>IF(P102=1,MIN(C102,C102*(F102*O102+F103*O103+F104*O104)),MIN(C102,C102*(F102+F103+F104)))</f>
        <v>0</v>
      </c>
      <c r="H102" s="1648"/>
      <c r="I102" s="1648"/>
      <c r="J102" s="1648"/>
      <c r="K102" s="4"/>
      <c r="L102" s="4">
        <f>IF(N102=1,E102,1)*IF(OR(D102=$M$51,D102=$M$52,D102=$M$53,D102=$M$54,D102=$M$58),1,IF(D102=$M$59,0.8,IF(D102=$M$60,0.6,IF(D102=$M$61,0.4,IF(D102=$M$55,0.5,IF(OR(D102=$M$57,D102=$M$63,D102=$M$56,D102=$M$64,D102=$M$62,D102=$M$65),0.2,IF(D102=$M$66,0.1,0)))))))</f>
        <v>0</v>
      </c>
      <c r="M102" s="4"/>
      <c r="N102">
        <f>IF(OR(D102=$M$53,D102=$M$52,D102=$M$54,D102=$M$55),1,0)</f>
        <v>0</v>
      </c>
      <c r="O102">
        <f t="shared" si="0"/>
        <v>0</v>
      </c>
      <c r="P102" s="1967">
        <f>MIN(1,SUM(O102:O104))</f>
        <v>0</v>
      </c>
    </row>
    <row r="103" spans="1:16" ht="15" x14ac:dyDescent="0.25">
      <c r="A103" s="4"/>
      <c r="B103" s="1937"/>
      <c r="C103" s="1934"/>
      <c r="D103" s="1307" t="s">
        <v>62</v>
      </c>
      <c r="E103" s="1021"/>
      <c r="F103" s="693">
        <f>IF(AND(P102=1,O103=1),MIN(1,L103),0)</f>
        <v>0</v>
      </c>
      <c r="G103" s="1940"/>
      <c r="H103" s="1648"/>
      <c r="I103" s="1648"/>
      <c r="J103" s="1648"/>
      <c r="K103" s="4"/>
      <c r="L103" s="4">
        <f>IF(N103=1,E103,1)*IF(OR(D103=$M$51,D103=$M$52,D103=$M$53,D103=$M$54,D103=$M$58),1,IF(D103=$M$59,0.8,IF(D103=$M$60,0.6,IF(D103=$M$61,0.4,IF(D103=$M$55,0.5,IF(OR(D103=$M$57,D103=$M$63,D103=$M$56,D103=$M$64,D103=$M$62,D103=$M$65),0.2,IF(D103=$M$66,0.1,0)))))))</f>
        <v>0</v>
      </c>
      <c r="M103" s="4"/>
      <c r="N103">
        <f>IF(OR(D103=$M$53,D103=$M$52,D103=$M$54,D103=$M$55),1,0)</f>
        <v>0</v>
      </c>
      <c r="O103">
        <f t="shared" si="0"/>
        <v>0</v>
      </c>
      <c r="P103" s="1967"/>
    </row>
    <row r="104" spans="1:16" ht="15.75" thickBot="1" x14ac:dyDescent="0.3">
      <c r="A104" s="4"/>
      <c r="B104" s="1938"/>
      <c r="C104" s="1935"/>
      <c r="D104" s="1311" t="s">
        <v>62</v>
      </c>
      <c r="E104" s="1246"/>
      <c r="F104" s="1320">
        <f>IF(AND(P102=1,O104=1),MIN(1,L104),0)</f>
        <v>0</v>
      </c>
      <c r="G104" s="1941"/>
      <c r="H104" s="1930"/>
      <c r="I104" s="1930"/>
      <c r="J104" s="1930"/>
      <c r="K104" s="4"/>
      <c r="L104" s="4">
        <f>IF(N104=1,E104,1)*IF(OR(D104=$M$51,D104=$M$52,D104=$M$53,D104=$M$54,D104=$M$58),1,IF(D104=$M$59,0.8,IF(D104=$M$60,0.6,IF(D104=$M$61,0.4,IF(D104=$M$55,0.5,IF(OR(D104=$M$57,D104=$M$63,D104=$M$56,D104=$M$64,D104=$M$62,D104=$M$65),0.2,IF(D104=$M$66,0.1,0)))))))</f>
        <v>0</v>
      </c>
      <c r="M104" s="4"/>
      <c r="N104">
        <f>IF(OR(D104=$M$53,D104=$M$52,D104=$M$54,D104=$M$55),1,0)</f>
        <v>0</v>
      </c>
      <c r="O104">
        <f t="shared" si="0"/>
        <v>0</v>
      </c>
      <c r="P104" s="1967"/>
    </row>
    <row r="105" spans="1:16" ht="15" x14ac:dyDescent="0.25">
      <c r="A105" s="4"/>
      <c r="B105" s="1936"/>
      <c r="C105" s="1933"/>
      <c r="D105" s="1306" t="s">
        <v>62</v>
      </c>
      <c r="E105" s="1021"/>
      <c r="F105" s="1321">
        <f>IF(AND(P105=1,O105=1),MIN(1,L105),0)</f>
        <v>0</v>
      </c>
      <c r="G105" s="1939">
        <f>IF(P105=1,MIN(C105,C105*(F105*O105+F106*O106+F107*O107)),MIN(C105,C105*(F105+F106+F107)))</f>
        <v>0</v>
      </c>
      <c r="H105" s="1648"/>
      <c r="I105" s="1648"/>
      <c r="J105" s="1648"/>
      <c r="K105" s="4"/>
      <c r="L105" s="4">
        <f>IF(N105=1,E105,1)*IF(OR(D105=$M$51,D105=$M$52,D105=$M$53,D105=$M$54,D105=$M$58),1,IF(D105=$M$59,0.8,IF(D105=$M$60,0.6,IF(D105=$M$61,0.4,IF(D105=$M$55,0.5,IF(OR(D105=$M$57,D105=$M$63,D105=$M$56,D105=$M$64,D105=$M$62,D105=$M$65),0.2,IF(D105=$M$66,0.1,0)))))))</f>
        <v>0</v>
      </c>
      <c r="M105" s="4"/>
      <c r="N105">
        <f>IF(OR(D105=$M$53,D105=$M$52,D105=$M$54,D105=$M$55),1,0)</f>
        <v>0</v>
      </c>
      <c r="O105">
        <f t="shared" si="0"/>
        <v>0</v>
      </c>
      <c r="P105" s="1967">
        <f>MIN(1,SUM(O105:O107))</f>
        <v>0</v>
      </c>
    </row>
    <row r="106" spans="1:16" ht="15" x14ac:dyDescent="0.25">
      <c r="A106" s="4"/>
      <c r="B106" s="1937"/>
      <c r="C106" s="1934"/>
      <c r="D106" s="1307" t="s">
        <v>62</v>
      </c>
      <c r="E106" s="1021"/>
      <c r="F106" s="693">
        <f>IF(AND(P105=1,O106=1),MIN(1,L106),0)</f>
        <v>0</v>
      </c>
      <c r="G106" s="1940"/>
      <c r="H106" s="1648"/>
      <c r="I106" s="1648"/>
      <c r="J106" s="1648"/>
      <c r="K106" s="4"/>
      <c r="L106" s="4">
        <f>IF(N106=1,E106,1)*IF(OR(D106=$M$51,D106=$M$52,D106=$M$53,D106=$M$54,D106=$M$58),1,IF(D106=$M$59,0.8,IF(D106=$M$60,0.6,IF(D106=$M$61,0.4,IF(D106=$M$55,0.5,IF(OR(D106=$M$57,D106=$M$63,D106=$M$56,D106=$M$64,D106=$M$62,D106=$M$65),0.2,IF(D106=$M$66,0.1,0)))))))</f>
        <v>0</v>
      </c>
      <c r="M106" s="4"/>
      <c r="N106">
        <f>IF(OR(D106=$M$53,D106=$M$52,D106=$M$54,D106=$M$55),1,0)</f>
        <v>0</v>
      </c>
      <c r="O106">
        <f t="shared" si="0"/>
        <v>0</v>
      </c>
      <c r="P106" s="1967"/>
    </row>
    <row r="107" spans="1:16" ht="15.75" thickBot="1" x14ac:dyDescent="0.3">
      <c r="A107" s="4"/>
      <c r="B107" s="1938"/>
      <c r="C107" s="1935"/>
      <c r="D107" s="1311" t="s">
        <v>62</v>
      </c>
      <c r="E107" s="1246"/>
      <c r="F107" s="1322">
        <f>IF(AND(P105=1,O107=1),MIN(1,L107),0)</f>
        <v>0</v>
      </c>
      <c r="G107" s="1941"/>
      <c r="H107" s="1930"/>
      <c r="I107" s="1930"/>
      <c r="J107" s="1930"/>
      <c r="K107" s="4"/>
      <c r="L107" s="4">
        <f>IF(N107=1,E107,1)*IF(OR(D107=$M$51,D107=$M$52,D107=$M$53,D107=$M$54,D107=$M$58),1,IF(D107=$M$59,0.8,IF(D107=$M$60,0.6,IF(D107=$M$61,0.4,IF(D107=$M$55,0.5,IF(OR(D107=$M$57,D107=$M$63,D107=$M$56,D107=$M$64,D107=$M$62,D107=$M$65),0.2,IF(D107=$M$66,0.1,0)))))))</f>
        <v>0</v>
      </c>
      <c r="M107" s="4"/>
      <c r="N107">
        <f>IF(OR(D107=$M$53,D107=$M$52,D107=$M$54,D107=$M$55),1,0)</f>
        <v>0</v>
      </c>
      <c r="O107">
        <f t="shared" si="0"/>
        <v>0</v>
      </c>
      <c r="P107" s="1967"/>
    </row>
    <row r="108" spans="1:16" ht="15" x14ac:dyDescent="0.25">
      <c r="A108" s="4"/>
      <c r="B108" s="1936"/>
      <c r="C108" s="1933"/>
      <c r="D108" s="1306" t="s">
        <v>62</v>
      </c>
      <c r="E108" s="1021"/>
      <c r="F108" s="693">
        <f>IF(AND(P108=1,O108=1),MIN(1,L108),0)</f>
        <v>0</v>
      </c>
      <c r="G108" s="1939">
        <f>IF(P108=1,MIN(C108,C108*(F108*O108+F109*O109+F110*O110)),MIN(C108,C108*(F108+F109+F110)))</f>
        <v>0</v>
      </c>
      <c r="H108" s="1648"/>
      <c r="I108" s="1648"/>
      <c r="J108" s="1648"/>
      <c r="K108" s="4"/>
      <c r="L108" s="4">
        <f>IF(N108=1,E108,1)*IF(OR(D108=$M$51,D108=$M$52,D108=$M$53,D108=$M$54,D108=$M$58),1,IF(D108=$M$59,0.8,IF(D108=$M$60,0.6,IF(D108=$M$61,0.4,IF(D108=$M$55,0.5,IF(OR(D108=$M$57,D108=$M$63,D108=$M$56,D108=$M$64,D108=$M$62,D108=$M$65),0.2,IF(D108=$M$66,0.1,0)))))))</f>
        <v>0</v>
      </c>
      <c r="M108" s="4"/>
      <c r="N108">
        <f>IF(OR(D108=$M$53,D108=$M$52,D108=$M$54,D108=$M$55),1,0)</f>
        <v>0</v>
      </c>
      <c r="O108">
        <f t="shared" si="0"/>
        <v>0</v>
      </c>
      <c r="P108" s="1967">
        <f>MIN(1,SUM(O108:O110))</f>
        <v>0</v>
      </c>
    </row>
    <row r="109" spans="1:16" ht="15" x14ac:dyDescent="0.25">
      <c r="A109" s="4"/>
      <c r="B109" s="1937"/>
      <c r="C109" s="1934"/>
      <c r="D109" s="1307" t="s">
        <v>62</v>
      </c>
      <c r="E109" s="1021"/>
      <c r="F109" s="693">
        <f>IF(AND(P108=1,O109=1),MIN(1,L109),0)</f>
        <v>0</v>
      </c>
      <c r="G109" s="1940"/>
      <c r="H109" s="1648"/>
      <c r="I109" s="1648"/>
      <c r="J109" s="1648"/>
      <c r="K109" s="4"/>
      <c r="L109" s="4">
        <f>IF(N109=1,E109,1)*IF(OR(D109=$M$51,D109=$M$52,D109=$M$53,D109=$M$54,D109=$M$58),1,IF(D109=$M$59,0.8,IF(D109=$M$60,0.6,IF(D109=$M$61,0.4,IF(D109=$M$55,0.5,IF(OR(D109=$M$57,D109=$M$63,D109=$M$56,D109=$M$64,D109=$M$62,D109=$M$65),0.2,IF(D109=$M$66,0.1,0)))))))</f>
        <v>0</v>
      </c>
      <c r="M109" s="4"/>
      <c r="N109">
        <f>IF(OR(D109=$M$53,D109=$M$52,D109=$M$54,D109=$M$55),1,0)</f>
        <v>0</v>
      </c>
      <c r="O109">
        <f t="shared" si="0"/>
        <v>0</v>
      </c>
      <c r="P109" s="1967"/>
    </row>
    <row r="110" spans="1:16" ht="15.75" thickBot="1" x14ac:dyDescent="0.3">
      <c r="A110" s="4"/>
      <c r="B110" s="1938"/>
      <c r="C110" s="1935"/>
      <c r="D110" s="1311" t="s">
        <v>62</v>
      </c>
      <c r="E110" s="1246"/>
      <c r="F110" s="1322">
        <f>IF(AND(P108=1,O110=1),MIN(1,L110),0)</f>
        <v>0</v>
      </c>
      <c r="G110" s="1941"/>
      <c r="H110" s="1930"/>
      <c r="I110" s="1930"/>
      <c r="J110" s="1930"/>
      <c r="K110" s="4"/>
      <c r="L110" s="4">
        <f>IF(N110=1,E110,1)*IF(OR(D110=$M$51,D110=$M$52,D110=$M$53,D110=$M$54,D110=$M$58),1,IF(D110=$M$59,0.8,IF(D110=$M$60,0.6,IF(D110=$M$61,0.4,IF(D110=$M$55,0.5,IF(OR(D110=$M$57,D110=$M$63,D110=$M$56,D110=$M$64,D110=$M$62,D110=$M$65),0.2,IF(D110=$M$66,0.1,0)))))))</f>
        <v>0</v>
      </c>
      <c r="M110" s="4"/>
      <c r="N110">
        <f>IF(OR(D110=$M$53,D110=$M$52,D110=$M$54,D110=$M$55),1,0)</f>
        <v>0</v>
      </c>
      <c r="O110">
        <f t="shared" si="0"/>
        <v>0</v>
      </c>
      <c r="P110" s="1967"/>
    </row>
    <row r="111" spans="1:16" ht="15" x14ac:dyDescent="0.25">
      <c r="A111" s="4"/>
      <c r="B111" s="1936"/>
      <c r="C111" s="1933"/>
      <c r="D111" s="1306" t="s">
        <v>62</v>
      </c>
      <c r="E111" s="1021"/>
      <c r="F111" s="693">
        <f>IF(AND(P111=1,O111=1),MIN(1,L111),0)</f>
        <v>0</v>
      </c>
      <c r="G111" s="1939">
        <f>IF(P111=1,MIN(C111,C111*(F111*O111+F112*O112+F113*O113)),MIN(C111,C111*(F111+F112+F113)))</f>
        <v>0</v>
      </c>
      <c r="H111" s="1648"/>
      <c r="I111" s="1648"/>
      <c r="J111" s="1648"/>
      <c r="K111" s="4"/>
      <c r="L111" s="4">
        <f>IF(N111=1,E111,1)*IF(OR(D111=$M$51,D111=$M$52,D111=$M$53,D111=$M$54,D111=$M$58),1,IF(D111=$M$59,0.8,IF(D111=$M$60,0.6,IF(D111=$M$61,0.4,IF(D111=$M$55,0.5,IF(OR(D111=$M$57,D111=$M$63,D111=$M$56,D111=$M$64,D111=$M$62,D111=$M$65),0.2,IF(D111=$M$66,0.1,0)))))))</f>
        <v>0</v>
      </c>
      <c r="M111" s="4"/>
      <c r="N111">
        <f>IF(OR(D111=$M$53,D111=$M$52,D111=$M$54,D111=$M$55),1,0)</f>
        <v>0</v>
      </c>
      <c r="O111">
        <f t="shared" si="0"/>
        <v>0</v>
      </c>
      <c r="P111" s="1967">
        <f>MIN(1,SUM(O111:O113))</f>
        <v>0</v>
      </c>
    </row>
    <row r="112" spans="1:16" ht="15" x14ac:dyDescent="0.25">
      <c r="A112" s="4"/>
      <c r="B112" s="1937"/>
      <c r="C112" s="1934"/>
      <c r="D112" s="1307" t="s">
        <v>62</v>
      </c>
      <c r="E112" s="1021"/>
      <c r="F112" s="693">
        <f>IF(AND(P111=1,O112=1),MIN(1,L112),0)</f>
        <v>0</v>
      </c>
      <c r="G112" s="1940"/>
      <c r="H112" s="1648"/>
      <c r="I112" s="1648"/>
      <c r="J112" s="1648"/>
      <c r="K112" s="4"/>
      <c r="L112" s="4">
        <f>IF(N112=1,E112,1)*IF(OR(D112=$M$51,D112=$M$52,D112=$M$53,D112=$M$54,D112=$M$58),1,IF(D112=$M$59,0.8,IF(D112=$M$60,0.6,IF(D112=$M$61,0.4,IF(D112=$M$55,0.5,IF(OR(D112=$M$57,D112=$M$63,D112=$M$56,D112=$M$64,D112=$M$62,D112=$M$65),0.2,IF(D112=$M$66,0.1,0)))))))</f>
        <v>0</v>
      </c>
      <c r="M112" s="4"/>
      <c r="N112">
        <f>IF(OR(D112=$M$53,D112=$M$52,D112=$M$54,D112=$M$55),1,0)</f>
        <v>0</v>
      </c>
      <c r="O112">
        <f t="shared" si="0"/>
        <v>0</v>
      </c>
      <c r="P112" s="1967"/>
    </row>
    <row r="113" spans="1:16" ht="15.75" thickBot="1" x14ac:dyDescent="0.3">
      <c r="A113" s="4"/>
      <c r="B113" s="1938"/>
      <c r="C113" s="1935"/>
      <c r="D113" s="1311" t="s">
        <v>62</v>
      </c>
      <c r="E113" s="1246"/>
      <c r="F113" s="1320">
        <f>IF(AND(P111=1,O113=1),MIN(1,L113),0)</f>
        <v>0</v>
      </c>
      <c r="G113" s="1941"/>
      <c r="H113" s="1930"/>
      <c r="I113" s="1930"/>
      <c r="J113" s="1930"/>
      <c r="K113" s="4"/>
      <c r="L113" s="4">
        <f>IF(N113=1,E113,1)*IF(OR(D113=$M$51,D113=$M$52,D113=$M$53,D113=$M$54,D113=$M$58),1,IF(D113=$M$59,0.8,IF(D113=$M$60,0.6,IF(D113=$M$61,0.4,IF(D113=$M$55,0.5,IF(OR(D113=$M$57,D113=$M$63,D113=$M$56,D113=$M$64,D113=$M$62,D113=$M$65),0.2,IF(D113=$M$66,0.1,0)))))))</f>
        <v>0</v>
      </c>
      <c r="M113" s="4"/>
      <c r="N113">
        <f>IF(OR(D113=$M$53,D113=$M$52,D113=$M$54,D113=$M$55),1,0)</f>
        <v>0</v>
      </c>
      <c r="O113">
        <f t="shared" si="0"/>
        <v>0</v>
      </c>
      <c r="P113" s="1967"/>
    </row>
    <row r="114" spans="1:16" ht="15" x14ac:dyDescent="0.25">
      <c r="A114" s="4"/>
      <c r="B114" s="1936"/>
      <c r="C114" s="1933"/>
      <c r="D114" s="1306" t="s">
        <v>62</v>
      </c>
      <c r="E114" s="1021"/>
      <c r="F114" s="1321">
        <f>IF(AND(P114=1,O114=1),MIN(1,L114),0)</f>
        <v>0</v>
      </c>
      <c r="G114" s="1939">
        <f>IF(P114=1,MIN(C114,C114*(F114*O114+F115*O115+F116*O116)),MIN(C114,C114*(F114+F115+F116)))</f>
        <v>0</v>
      </c>
      <c r="H114" s="1648"/>
      <c r="I114" s="1648"/>
      <c r="J114" s="1648"/>
      <c r="K114" s="4"/>
      <c r="L114" s="4">
        <f>IF(N114=1,E114,1)*IF(OR(D114=$M$51,D114=$M$52,D114=$M$53,D114=$M$54,D114=$M$58),1,IF(D114=$M$59,0.8,IF(D114=$M$60,0.6,IF(D114=$M$61,0.4,IF(D114=$M$55,0.5,IF(OR(D114=$M$57,D114=$M$63,D114=$M$56,D114=$M$64,D114=$M$62,D114=$M$65),0.2,IF(D114=$M$66,0.1,0)))))))</f>
        <v>0</v>
      </c>
      <c r="M114" s="4"/>
      <c r="N114">
        <f>IF(OR(D114=$M$53,D114=$M$52,D114=$M$54,D114=$M$55),1,0)</f>
        <v>0</v>
      </c>
      <c r="O114">
        <f t="shared" si="0"/>
        <v>0</v>
      </c>
      <c r="P114" s="1967">
        <f>MIN(1,SUM(O114:O116))</f>
        <v>0</v>
      </c>
    </row>
    <row r="115" spans="1:16" ht="15" x14ac:dyDescent="0.25">
      <c r="A115" s="4"/>
      <c r="B115" s="1937"/>
      <c r="C115" s="1934"/>
      <c r="D115" s="1307" t="s">
        <v>62</v>
      </c>
      <c r="E115" s="1021"/>
      <c r="F115" s="693">
        <f>IF(AND(P114=1,O115=1),MIN(1,L115),0)</f>
        <v>0</v>
      </c>
      <c r="G115" s="1940"/>
      <c r="H115" s="1648"/>
      <c r="I115" s="1648"/>
      <c r="J115" s="1648"/>
      <c r="K115" s="4"/>
      <c r="L115" s="4">
        <f>IF(N115=1,E115,1)*IF(OR(D115=$M$51,D115=$M$52,D115=$M$53,D115=$M$54,D115=$M$58),1,IF(D115=$M$59,0.8,IF(D115=$M$60,0.6,IF(D115=$M$61,0.4,IF(D115=$M$55,0.5,IF(OR(D115=$M$57,D115=$M$63,D115=$M$56,D115=$M$64,D115=$M$62,D115=$M$65),0.2,IF(D115=$M$66,0.1,0)))))))</f>
        <v>0</v>
      </c>
      <c r="M115" s="4"/>
      <c r="N115">
        <f>IF(OR(D115=$M$53,D115=$M$52,D115=$M$54,D115=$M$55),1,0)</f>
        <v>0</v>
      </c>
      <c r="O115">
        <f t="shared" si="0"/>
        <v>0</v>
      </c>
      <c r="P115" s="1967"/>
    </row>
    <row r="116" spans="1:16" ht="15.75" thickBot="1" x14ac:dyDescent="0.3">
      <c r="A116" s="4"/>
      <c r="B116" s="1938"/>
      <c r="C116" s="1935"/>
      <c r="D116" s="1311" t="s">
        <v>62</v>
      </c>
      <c r="E116" s="1246"/>
      <c r="F116" s="1320">
        <f>IF(AND(P114=1,O116=1),MIN(1,L116),0)</f>
        <v>0</v>
      </c>
      <c r="G116" s="1941"/>
      <c r="H116" s="1930"/>
      <c r="I116" s="1930"/>
      <c r="J116" s="1930"/>
      <c r="K116" s="4"/>
      <c r="L116" s="4">
        <f>IF(N116=1,E116,1)*IF(OR(D116=$M$51,D116=$M$52,D116=$M$53,D116=$M$54,D116=$M$58),1,IF(D116=$M$59,0.8,IF(D116=$M$60,0.6,IF(D116=$M$61,0.4,IF(D116=$M$55,0.5,IF(OR(D116=$M$57,D116=$M$63,D116=$M$56,D116=$M$64,D116=$M$62,D116=$M$65),0.2,IF(D116=$M$66,0.1,0)))))))</f>
        <v>0</v>
      </c>
      <c r="M116" s="4"/>
      <c r="N116">
        <f>IF(OR(D116=$M$53,D116=$M$52,D116=$M$54,D116=$M$55),1,0)</f>
        <v>0</v>
      </c>
      <c r="O116">
        <f t="shared" si="0"/>
        <v>0</v>
      </c>
      <c r="P116" s="1967"/>
    </row>
    <row r="117" spans="1:16" ht="15" x14ac:dyDescent="0.25">
      <c r="A117" s="4"/>
      <c r="B117" s="1936"/>
      <c r="C117" s="1933"/>
      <c r="D117" s="1306" t="s">
        <v>62</v>
      </c>
      <c r="E117" s="1021"/>
      <c r="F117" s="1321">
        <f>IF(AND(P117=1,O117=1),MIN(1,L117),0)</f>
        <v>0</v>
      </c>
      <c r="G117" s="1939">
        <f>IF(P117=1,MIN(C117,C117*(F117*O117+F118*O118+F119*O119)),MIN(C117,C117*(F117+F118+F119)))</f>
        <v>0</v>
      </c>
      <c r="H117" s="1648"/>
      <c r="I117" s="1648"/>
      <c r="J117" s="1648"/>
      <c r="K117" s="4"/>
      <c r="L117" s="4">
        <f>IF(N117=1,E117,1)*IF(OR(D117=$M$51,D117=$M$52,D117=$M$53,D117=$M$54,D117=$M$58),1,IF(D117=$M$59,0.8,IF(D117=$M$60,0.6,IF(D117=$M$61,0.4,IF(D117=$M$55,0.5,IF(OR(D117=$M$57,D117=$M$63,D117=$M$56,D117=$M$64,D117=$M$62,D117=$M$65),0.2,IF(D117=$M$66,0.1,0)))))))</f>
        <v>0</v>
      </c>
      <c r="M117" s="4"/>
      <c r="N117">
        <f>IF(OR(D117=$M$53,D117=$M$52,D117=$M$54,D117=$M$55),1,0)</f>
        <v>0</v>
      </c>
      <c r="O117">
        <f t="shared" si="0"/>
        <v>0</v>
      </c>
      <c r="P117" s="1967">
        <f>MIN(1,SUM(O117:O119))</f>
        <v>0</v>
      </c>
    </row>
    <row r="118" spans="1:16" ht="15" x14ac:dyDescent="0.25">
      <c r="A118" s="4"/>
      <c r="B118" s="1937"/>
      <c r="C118" s="1934"/>
      <c r="D118" s="1307" t="s">
        <v>62</v>
      </c>
      <c r="E118" s="1021"/>
      <c r="F118" s="693">
        <f>IF(AND(P117=1,O118=1),MIN(1,L118),0)</f>
        <v>0</v>
      </c>
      <c r="G118" s="1940"/>
      <c r="H118" s="1648"/>
      <c r="I118" s="1648"/>
      <c r="J118" s="1648"/>
      <c r="K118" s="4"/>
      <c r="L118" s="4">
        <f>IF(N118=1,E118,1)*IF(OR(D118=$M$51,D118=$M$52,D118=$M$53,D118=$M$54,D118=$M$58),1,IF(D118=$M$59,0.8,IF(D118=$M$60,0.6,IF(D118=$M$61,0.4,IF(D118=$M$55,0.5,IF(OR(D118=$M$57,D118=$M$63,D118=$M$56,D118=$M$64,D118=$M$62,D118=$M$65),0.2,IF(D118=$M$66,0.1,0)))))))</f>
        <v>0</v>
      </c>
      <c r="M118" s="4"/>
      <c r="N118">
        <f>IF(OR(D118=$M$53,D118=$M$52,D118=$M$54,D118=$M$55),1,0)</f>
        <v>0</v>
      </c>
      <c r="O118">
        <f t="shared" si="0"/>
        <v>0</v>
      </c>
      <c r="P118" s="1967"/>
    </row>
    <row r="119" spans="1:16" ht="15.75" thickBot="1" x14ac:dyDescent="0.3">
      <c r="A119" s="4"/>
      <c r="B119" s="1938"/>
      <c r="C119" s="1935"/>
      <c r="D119" s="1311" t="s">
        <v>62</v>
      </c>
      <c r="E119" s="1246"/>
      <c r="F119" s="1320">
        <f>IF(AND(P117=1,O119=1),MIN(1,L119),0)</f>
        <v>0</v>
      </c>
      <c r="G119" s="1941"/>
      <c r="H119" s="1930"/>
      <c r="I119" s="1930"/>
      <c r="J119" s="1930"/>
      <c r="K119" s="4"/>
      <c r="L119" s="4">
        <f>IF(N119=1,E119,1)*IF(OR(D119=$M$51,D119=$M$52,D119=$M$53,D119=$M$54,D119=$M$58),1,IF(D119=$M$59,0.8,IF(D119=$M$60,0.6,IF(D119=$M$61,0.4,IF(D119=$M$55,0.5,IF(OR(D119=$M$57,D119=$M$63,D119=$M$56,D119=$M$64,D119=$M$62,D119=$M$65),0.2,IF(D119=$M$66,0.1,0)))))))</f>
        <v>0</v>
      </c>
      <c r="M119" s="4"/>
      <c r="N119">
        <f>IF(OR(D119=$M$53,D119=$M$52,D119=$M$54,D119=$M$55),1,0)</f>
        <v>0</v>
      </c>
      <c r="O119">
        <f t="shared" si="0"/>
        <v>0</v>
      </c>
      <c r="P119" s="1967"/>
    </row>
    <row r="120" spans="1:16" ht="15" x14ac:dyDescent="0.25">
      <c r="A120" s="4"/>
      <c r="B120" s="1936"/>
      <c r="C120" s="1933"/>
      <c r="D120" s="1306" t="s">
        <v>62</v>
      </c>
      <c r="E120" s="1021"/>
      <c r="F120" s="1321">
        <f>IF(AND(P120=1,O120=1),MIN(1,L120),0)</f>
        <v>0</v>
      </c>
      <c r="G120" s="1939">
        <f>IF(P120=1,MIN(C120,C120*(F120*O120+F121*O121+F122*O122)),MIN(C120,C120*(F120+F121+F122)))</f>
        <v>0</v>
      </c>
      <c r="H120" s="1648"/>
      <c r="I120" s="1648"/>
      <c r="J120" s="1648"/>
      <c r="K120" s="4"/>
      <c r="L120" s="4">
        <f>IF(N120=1,E120,1)*IF(OR(D120=$M$51,D120=$M$52,D120=$M$53,D120=$M$54,D120=$M$58),1,IF(D120=$M$59,0.8,IF(D120=$M$60,0.6,IF(D120=$M$61,0.4,IF(D120=$M$55,0.5,IF(OR(D120=$M$57,D120=$M$63,D120=$M$56,D120=$M$64,D120=$M$62,D120=$M$65),0.2,IF(D120=$M$66,0.1,0)))))))</f>
        <v>0</v>
      </c>
      <c r="M120" s="4"/>
      <c r="N120">
        <f>IF(OR(D120=$M$53,D120=$M$52,D120=$M$54,D120=$M$55),1,0)</f>
        <v>0</v>
      </c>
      <c r="O120">
        <f t="shared" si="0"/>
        <v>0</v>
      </c>
      <c r="P120" s="1967">
        <f>MIN(1,SUM(O120:O122))</f>
        <v>0</v>
      </c>
    </row>
    <row r="121" spans="1:16" ht="15" x14ac:dyDescent="0.25">
      <c r="A121" s="4"/>
      <c r="B121" s="1937"/>
      <c r="C121" s="1934"/>
      <c r="D121" s="1307" t="s">
        <v>62</v>
      </c>
      <c r="E121" s="1021"/>
      <c r="F121" s="693">
        <f>IF(AND(P120=1,O121=1),MIN(1,L121),0)</f>
        <v>0</v>
      </c>
      <c r="G121" s="1940"/>
      <c r="H121" s="1648"/>
      <c r="I121" s="1648"/>
      <c r="J121" s="1648"/>
      <c r="K121" s="4"/>
      <c r="L121" s="4">
        <f>IF(N121=1,E121,1)*IF(OR(D121=$M$51,D121=$M$52,D121=$M$53,D121=$M$54,D121=$M$58),1,IF(D121=$M$59,0.8,IF(D121=$M$60,0.6,IF(D121=$M$61,0.4,IF(D121=$M$55,0.5,IF(OR(D121=$M$57,D121=$M$63,D121=$M$56,D121=$M$64,D121=$M$62,D121=$M$65),0.2,IF(D121=$M$66,0.1,0)))))))</f>
        <v>0</v>
      </c>
      <c r="M121" s="4"/>
      <c r="N121">
        <f>IF(OR(D121=$M$53,D121=$M$52,D121=$M$54,D121=$M$55),1,0)</f>
        <v>0</v>
      </c>
      <c r="O121">
        <f t="shared" si="0"/>
        <v>0</v>
      </c>
      <c r="P121" s="1967"/>
    </row>
    <row r="122" spans="1:16" ht="15.75" thickBot="1" x14ac:dyDescent="0.3">
      <c r="A122" s="4"/>
      <c r="B122" s="1938"/>
      <c r="C122" s="1935"/>
      <c r="D122" s="1311" t="s">
        <v>62</v>
      </c>
      <c r="E122" s="1246"/>
      <c r="F122" s="1320">
        <f>IF(AND(P120=1,O122=1),MIN(1,L122),0)</f>
        <v>0</v>
      </c>
      <c r="G122" s="1941"/>
      <c r="H122" s="1930"/>
      <c r="I122" s="1930"/>
      <c r="J122" s="1930"/>
      <c r="K122" s="4"/>
      <c r="L122" s="4">
        <f>IF(N122=1,E122,1)*IF(OR(D122=$M$51,D122=$M$52,D122=$M$53,D122=$M$54,D122=$M$58),1,IF(D122=$M$59,0.8,IF(D122=$M$60,0.6,IF(D122=$M$61,0.4,IF(D122=$M$55,0.5,IF(OR(D122=$M$57,D122=$M$63,D122=$M$56,D122=$M$64,D122=$M$62,D122=$M$65),0.2,IF(D122=$M$66,0.1,0)))))))</f>
        <v>0</v>
      </c>
      <c r="M122" s="4"/>
      <c r="N122">
        <f>IF(OR(D122=$M$53,D122=$M$52,D122=$M$54,D122=$M$55),1,0)</f>
        <v>0</v>
      </c>
      <c r="O122">
        <f t="shared" si="0"/>
        <v>0</v>
      </c>
      <c r="P122" s="1967"/>
    </row>
    <row r="123" spans="1:16" ht="15" x14ac:dyDescent="0.25">
      <c r="A123" s="4"/>
      <c r="B123" s="1936"/>
      <c r="C123" s="1933"/>
      <c r="D123" s="1306" t="s">
        <v>62</v>
      </c>
      <c r="E123" s="1021"/>
      <c r="F123" s="1321">
        <f>IF(AND(P123=1,O123=1),MIN(1,L123),0)</f>
        <v>0</v>
      </c>
      <c r="G123" s="1939">
        <f>IF(P123=1,MIN(C123,C123*(F123*O123+F124*O124+F125*O125)),MIN(C123,C123*(F123+F124+F125)))</f>
        <v>0</v>
      </c>
      <c r="H123" s="1648"/>
      <c r="I123" s="1648"/>
      <c r="J123" s="1648"/>
      <c r="K123" s="4"/>
      <c r="L123" s="4">
        <f>IF(N123=1,E123,1)*IF(OR(D123=$M$51,D123=$M$52,D123=$M$53,D123=$M$54,D123=$M$58),1,IF(D123=$M$59,0.8,IF(D123=$M$60,0.6,IF(D123=$M$61,0.4,IF(D123=$M$55,0.5,IF(OR(D123=$M$57,D123=$M$63,D123=$M$56,D123=$M$64,D123=$M$62,D123=$M$65),0.2,IF(D123=$M$66,0.1,0)))))))</f>
        <v>0</v>
      </c>
      <c r="M123" s="4"/>
      <c r="N123">
        <f>IF(OR(D123=$M$53,D123=$M$52,D123=$M$54,D123=$M$55),1,0)</f>
        <v>0</v>
      </c>
      <c r="O123">
        <f t="shared" si="0"/>
        <v>0</v>
      </c>
      <c r="P123" s="1967">
        <f>MIN(1,SUM(O123:O125))</f>
        <v>0</v>
      </c>
    </row>
    <row r="124" spans="1:16" ht="15" x14ac:dyDescent="0.25">
      <c r="A124" s="4"/>
      <c r="B124" s="1937"/>
      <c r="C124" s="1934"/>
      <c r="D124" s="1307" t="s">
        <v>62</v>
      </c>
      <c r="E124" s="1021"/>
      <c r="F124" s="693">
        <f>IF(AND(P123=1,O124=1),MIN(1,L124),0)</f>
        <v>0</v>
      </c>
      <c r="G124" s="1940"/>
      <c r="H124" s="1648"/>
      <c r="I124" s="1648"/>
      <c r="J124" s="1648"/>
      <c r="K124" s="4"/>
      <c r="L124" s="4">
        <f>IF(N124=1,E124,1)*IF(OR(D124=$M$51,D124=$M$52,D124=$M$53,D124=$M$54,D124=$M$58),1,IF(D124=$M$59,0.8,IF(D124=$M$60,0.6,IF(D124=$M$61,0.4,IF(D124=$M$55,0.5,IF(OR(D124=$M$57,D124=$M$63,D124=$M$56,D124=$M$64,D124=$M$62,D124=$M$65),0.2,IF(D124=$M$66,0.1,0)))))))</f>
        <v>0</v>
      </c>
      <c r="M124" s="4"/>
      <c r="N124">
        <f>IF(OR(D124=$M$53,D124=$M$52,D124=$M$54,D124=$M$55),1,0)</f>
        <v>0</v>
      </c>
      <c r="O124">
        <f t="shared" si="0"/>
        <v>0</v>
      </c>
      <c r="P124" s="1967"/>
    </row>
    <row r="125" spans="1:16" ht="15.75" thickBot="1" x14ac:dyDescent="0.3">
      <c r="A125" s="4"/>
      <c r="B125" s="1938"/>
      <c r="C125" s="1935"/>
      <c r="D125" s="1311" t="s">
        <v>62</v>
      </c>
      <c r="E125" s="1246"/>
      <c r="F125" s="1320">
        <f>IF(AND(P123=1,O125=1),MIN(1,L125),0)</f>
        <v>0</v>
      </c>
      <c r="G125" s="1941"/>
      <c r="H125" s="1930"/>
      <c r="I125" s="1930"/>
      <c r="J125" s="1930"/>
      <c r="K125" s="4"/>
      <c r="L125" s="4">
        <f>IF(N125=1,E125,1)*IF(OR(D125=$M$51,D125=$M$52,D125=$M$53,D125=$M$54,D125=$M$58),1,IF(D125=$M$59,0.8,IF(D125=$M$60,0.6,IF(D125=$M$61,0.4,IF(D125=$M$55,0.5,IF(OR(D125=$M$57,D125=$M$63,D125=$M$56,D125=$M$64,D125=$M$62,D125=$M$65),0.2,IF(D125=$M$66,0.1,0)))))))</f>
        <v>0</v>
      </c>
      <c r="M125" s="4"/>
      <c r="N125">
        <f>IF(OR(D125=$M$53,D125=$M$52,D125=$M$54,D125=$M$55),1,0)</f>
        <v>0</v>
      </c>
      <c r="O125">
        <f t="shared" si="0"/>
        <v>0</v>
      </c>
      <c r="P125" s="1967"/>
    </row>
    <row r="126" spans="1:16" ht="15" x14ac:dyDescent="0.25">
      <c r="A126" s="4"/>
      <c r="B126" s="1936"/>
      <c r="C126" s="1933"/>
      <c r="D126" s="1306" t="s">
        <v>62</v>
      </c>
      <c r="E126" s="1021"/>
      <c r="F126" s="1321">
        <f>IF(AND(P126=1,O126=1),MIN(1,L126),0)</f>
        <v>0</v>
      </c>
      <c r="G126" s="1939">
        <f>IF(P126=1,MIN(C126,C126*(F126*O126+F127*O127+F128*O128)),MIN(C126,C126*(F126+F127+F128)))</f>
        <v>0</v>
      </c>
      <c r="H126" s="1648"/>
      <c r="I126" s="1648"/>
      <c r="J126" s="1648"/>
      <c r="K126" s="4"/>
      <c r="L126" s="4">
        <f>IF(N126=1,E126,1)*IF(OR(D126=$M$51,D126=$M$52,D126=$M$53,D126=$M$54,D126=$M$58),1,IF(D126=$M$59,0.8,IF(D126=$M$60,0.6,IF(D126=$M$61,0.4,IF(D126=$M$55,0.5,IF(OR(D126=$M$57,D126=$M$63,D126=$M$56,D126=$M$64,D126=$M$62,D126=$M$65),0.2,IF(D126=$M$66,0.1,0)))))))</f>
        <v>0</v>
      </c>
      <c r="M126" s="4"/>
      <c r="N126">
        <f>IF(OR(D126=$M$53,D126=$M$52,D126=$M$54,D126=$M$55),1,0)</f>
        <v>0</v>
      </c>
      <c r="O126">
        <f t="shared" si="0"/>
        <v>0</v>
      </c>
      <c r="P126" s="1967">
        <f>MIN(1,SUM(O126:O128))</f>
        <v>0</v>
      </c>
    </row>
    <row r="127" spans="1:16" ht="15" x14ac:dyDescent="0.25">
      <c r="A127" s="4"/>
      <c r="B127" s="1937"/>
      <c r="C127" s="1934"/>
      <c r="D127" s="1307" t="s">
        <v>62</v>
      </c>
      <c r="E127" s="1021"/>
      <c r="F127" s="693">
        <f>IF(AND(P126=1,O127=1),MIN(1,L127),0)</f>
        <v>0</v>
      </c>
      <c r="G127" s="1940"/>
      <c r="H127" s="1648"/>
      <c r="I127" s="1648"/>
      <c r="J127" s="1648"/>
      <c r="K127" s="4"/>
      <c r="L127" s="4">
        <f>IF(N127=1,E127,1)*IF(OR(D127=$M$51,D127=$M$52,D127=$M$53,D127=$M$54,D127=$M$58),1,IF(D127=$M$59,0.8,IF(D127=$M$60,0.6,IF(D127=$M$61,0.4,IF(D127=$M$55,0.5,IF(OR(D127=$M$57,D127=$M$63,D127=$M$56,D127=$M$64,D127=$M$62,D127=$M$65),0.2,IF(D127=$M$66,0.1,0)))))))</f>
        <v>0</v>
      </c>
      <c r="M127" s="4"/>
      <c r="N127">
        <f>IF(OR(D127=$M$53,D127=$M$52,D127=$M$54,D127=$M$55),1,0)</f>
        <v>0</v>
      </c>
      <c r="O127">
        <f t="shared" si="0"/>
        <v>0</v>
      </c>
      <c r="P127" s="1967"/>
    </row>
    <row r="128" spans="1:16" ht="15.75" thickBot="1" x14ac:dyDescent="0.3">
      <c r="A128" s="4"/>
      <c r="B128" s="1938"/>
      <c r="C128" s="1935"/>
      <c r="D128" s="1311" t="s">
        <v>62</v>
      </c>
      <c r="E128" s="1246"/>
      <c r="F128" s="1322">
        <f>IF(AND(P126=1,O128=1),MIN(1,L128),0)</f>
        <v>0</v>
      </c>
      <c r="G128" s="1941"/>
      <c r="H128" s="1930"/>
      <c r="I128" s="1930"/>
      <c r="J128" s="1930"/>
      <c r="K128" s="4"/>
      <c r="L128" s="4">
        <f>IF(N128=1,E128,1)*IF(OR(D128=$M$51,D128=$M$52,D128=$M$53,D128=$M$54,D128=$M$58),1,IF(D128=$M$59,0.8,IF(D128=$M$60,0.6,IF(D128=$M$61,0.4,IF(D128=$M$55,0.5,IF(OR(D128=$M$57,D128=$M$63,D128=$M$56,D128=$M$64,D128=$M$62,D128=$M$65),0.2,IF(D128=$M$66,0.1,0)))))))</f>
        <v>0</v>
      </c>
      <c r="M128" s="4"/>
      <c r="N128">
        <f>IF(OR(D128=$M$53,D128=$M$52,D128=$M$54,D128=$M$55),1,0)</f>
        <v>0</v>
      </c>
      <c r="O128">
        <f t="shared" si="0"/>
        <v>0</v>
      </c>
      <c r="P128" s="1967"/>
    </row>
    <row r="129" spans="1:16" ht="15" x14ac:dyDescent="0.25">
      <c r="A129" s="4"/>
      <c r="B129" s="1936"/>
      <c r="C129" s="1933"/>
      <c r="D129" s="1306" t="s">
        <v>62</v>
      </c>
      <c r="E129" s="1021"/>
      <c r="F129" s="693">
        <f>IF(AND(P129=1,O129=1),MIN(1,L129),0)</f>
        <v>0</v>
      </c>
      <c r="G129" s="1939">
        <f>IF(P129=1,MIN(C129,C129*(F129*O129+F130*O130+F131*O131)),MIN(C129,C129*(F129+F130+F131)))</f>
        <v>0</v>
      </c>
      <c r="H129" s="1648"/>
      <c r="I129" s="1648"/>
      <c r="J129" s="1648"/>
      <c r="K129" s="4"/>
      <c r="L129" s="4">
        <f>IF(N129=1,E129,1)*IF(OR(D129=$M$51,D129=$M$52,D129=$M$53,D129=$M$54,D129=$M$58),1,IF(D129=$M$59,0.8,IF(D129=$M$60,0.6,IF(D129=$M$61,0.4,IF(D129=$M$55,0.5,IF(OR(D129=$M$57,D129=$M$63,D129=$M$56,D129=$M$64,D129=$M$62,D129=$M$65),0.2,IF(D129=$M$66,0.1,0)))))))</f>
        <v>0</v>
      </c>
      <c r="M129" s="4"/>
      <c r="N129">
        <f>IF(OR(D129=$M$53,D129=$M$52,D129=$M$54,D129=$M$55),1,0)</f>
        <v>0</v>
      </c>
      <c r="O129">
        <f>IFERROR(IF(VLOOKUP(D129,$M$51:$M$67,1,FALSE)=D129,1,0),0)</f>
        <v>0</v>
      </c>
      <c r="P129" s="1967">
        <f>MIN(1,SUM(O129:O131))</f>
        <v>0</v>
      </c>
    </row>
    <row r="130" spans="1:16" ht="15" x14ac:dyDescent="0.25">
      <c r="A130" s="4"/>
      <c r="B130" s="1937"/>
      <c r="C130" s="1934"/>
      <c r="D130" s="1307" t="s">
        <v>62</v>
      </c>
      <c r="E130" s="1021"/>
      <c r="F130" s="693">
        <f>IF(AND(P129=1,O130=1),MIN(1,L130),0)</f>
        <v>0</v>
      </c>
      <c r="G130" s="1940"/>
      <c r="H130" s="1648"/>
      <c r="I130" s="1648"/>
      <c r="J130" s="1648"/>
      <c r="K130" s="4"/>
      <c r="L130" s="4">
        <f>IF(N130=1,E130,1)*IF(OR(D130=$M$51,D130=$M$52,D130=$M$53,D130=$M$54,D130=$M$58),1,IF(D130=$M$59,0.8,IF(D130=$M$60,0.6,IF(D130=$M$61,0.4,IF(D130=$M$55,0.5,IF(OR(D130=$M$57,D130=$M$63,D130=$M$56,D130=$M$64,D130=$M$62,D130=$M$65),0.2,IF(D130=$M$66,0.1,0)))))))</f>
        <v>0</v>
      </c>
      <c r="M130" s="4"/>
      <c r="N130">
        <f>IF(OR(D130=$M$53,D130=$M$52,D130=$M$54,D130=$M$55),1,0)</f>
        <v>0</v>
      </c>
      <c r="O130">
        <f t="shared" si="0"/>
        <v>0</v>
      </c>
      <c r="P130" s="1967"/>
    </row>
    <row r="131" spans="1:16" ht="15.75" thickBot="1" x14ac:dyDescent="0.3">
      <c r="A131" s="4"/>
      <c r="B131" s="1938"/>
      <c r="C131" s="1935"/>
      <c r="D131" s="1311" t="s">
        <v>62</v>
      </c>
      <c r="E131" s="1246"/>
      <c r="F131" s="1322">
        <f>IF(AND(P129=1,O131=1),MIN(1,L131),0)</f>
        <v>0</v>
      </c>
      <c r="G131" s="1941"/>
      <c r="H131" s="1930"/>
      <c r="I131" s="1930"/>
      <c r="J131" s="1930"/>
      <c r="K131" s="4"/>
      <c r="L131" s="4">
        <f>IF(N131=1,E131,1)*IF(OR(D131=$M$51,D131=$M$52,D131=$M$53,D131=$M$54,D131=$M$58),1,IF(D131=$M$59,0.8,IF(D131=$M$60,0.6,IF(D131=$M$61,0.4,IF(D131=$M$55,0.5,IF(OR(D131=$M$57,D131=$M$63,D131=$M$56,D131=$M$64,D131=$M$62,D131=$M$65),0.2,IF(D131=$M$66,0.1,0)))))))</f>
        <v>0</v>
      </c>
      <c r="M131" s="4"/>
      <c r="N131">
        <f>IF(OR(D131=$M$53,D131=$M$52,D131=$M$54,D131=$M$55),1,0)</f>
        <v>0</v>
      </c>
      <c r="O131">
        <f t="shared" si="0"/>
        <v>0</v>
      </c>
      <c r="P131" s="1967"/>
    </row>
    <row r="132" spans="1:16" ht="18" customHeight="1" x14ac:dyDescent="0.25">
      <c r="A132" s="4"/>
      <c r="B132" s="4"/>
      <c r="C132" s="4"/>
      <c r="D132" s="4"/>
      <c r="E132" s="4"/>
      <c r="F132" s="4"/>
      <c r="G132" s="4"/>
      <c r="H132" s="4"/>
      <c r="I132" s="4"/>
      <c r="J132" s="4"/>
      <c r="K132" s="4"/>
    </row>
    <row r="133" spans="1:16" ht="18" customHeight="1" x14ac:dyDescent="0.25">
      <c r="A133" s="4"/>
      <c r="B133" s="1960" t="s">
        <v>1088</v>
      </c>
      <c r="C133" s="1960"/>
      <c r="D133" s="1960"/>
      <c r="E133" s="1968">
        <f>SUM(G72:G131)</f>
        <v>0</v>
      </c>
      <c r="F133" s="1968"/>
      <c r="G133" s="4"/>
      <c r="H133" s="4"/>
      <c r="I133" s="4"/>
      <c r="J133" s="4"/>
      <c r="K133" s="4"/>
    </row>
    <row r="134" spans="1:16" ht="18" customHeight="1" x14ac:dyDescent="0.25">
      <c r="A134" s="4"/>
      <c r="B134" s="1960" t="s">
        <v>1089</v>
      </c>
      <c r="C134" s="1960"/>
      <c r="D134" s="1960"/>
      <c r="E134" s="1968">
        <f>SUM(C72:C131)</f>
        <v>0</v>
      </c>
      <c r="F134" s="1968"/>
      <c r="G134" s="4"/>
      <c r="H134" s="4"/>
      <c r="I134" s="4"/>
      <c r="J134" s="4"/>
      <c r="K134" s="4"/>
    </row>
    <row r="135" spans="1:16" ht="19.5" customHeight="1" x14ac:dyDescent="0.25">
      <c r="A135" s="4"/>
      <c r="B135" s="1960" t="s">
        <v>1090</v>
      </c>
      <c r="C135" s="1960"/>
      <c r="D135" s="1960"/>
      <c r="E135" s="1969">
        <f>IFERROR(E133/E134,0)</f>
        <v>0</v>
      </c>
      <c r="F135" s="1969"/>
      <c r="G135" s="4"/>
      <c r="H135" s="4"/>
      <c r="I135" s="4"/>
      <c r="J135" s="4"/>
      <c r="K135" s="4"/>
    </row>
    <row r="136" spans="1:16" ht="19.5" customHeight="1" x14ac:dyDescent="0.25">
      <c r="A136" s="4"/>
      <c r="B136" s="4"/>
      <c r="C136" s="4"/>
      <c r="D136" s="4"/>
      <c r="E136" s="4"/>
      <c r="F136" s="4"/>
      <c r="G136" s="4"/>
      <c r="H136" s="4"/>
      <c r="I136" s="4"/>
      <c r="J136" s="4"/>
      <c r="K136" s="4"/>
    </row>
    <row r="137" spans="1:16" ht="18" customHeight="1" x14ac:dyDescent="0.25">
      <c r="A137" s="1947" t="s">
        <v>97</v>
      </c>
      <c r="B137" s="1947"/>
      <c r="C137" s="1947"/>
      <c r="D137" s="1947"/>
      <c r="E137" s="1947"/>
      <c r="F137" s="1947"/>
      <c r="G137" s="1947"/>
      <c r="H137" s="1947"/>
      <c r="I137" s="1947"/>
      <c r="J137" s="1947"/>
      <c r="K137" s="1947"/>
    </row>
    <row r="138" spans="1:16" ht="15" x14ac:dyDescent="0.25">
      <c r="A138" s="4"/>
      <c r="B138" s="4"/>
      <c r="C138" s="4"/>
      <c r="D138" s="4"/>
      <c r="E138" s="4"/>
      <c r="F138" s="4"/>
      <c r="G138" s="4"/>
      <c r="H138" s="4"/>
      <c r="I138" s="4"/>
      <c r="J138" s="4"/>
      <c r="K138" s="4"/>
    </row>
    <row r="139" spans="1:16" ht="21" customHeight="1" x14ac:dyDescent="0.25">
      <c r="A139" s="4"/>
      <c r="B139" s="1961" t="s">
        <v>98</v>
      </c>
      <c r="C139" s="1962"/>
      <c r="D139" s="1962"/>
      <c r="E139" s="1962"/>
      <c r="F139" s="786" t="s">
        <v>1297</v>
      </c>
      <c r="G139" s="1931" t="s">
        <v>1298</v>
      </c>
      <c r="H139" s="1932"/>
      <c r="I139" s="4"/>
      <c r="J139" s="4"/>
      <c r="K139" s="4"/>
    </row>
    <row r="140" spans="1:16" ht="27" customHeight="1" x14ac:dyDescent="0.25">
      <c r="A140" s="4"/>
      <c r="B140" s="1906" t="str">
        <f>Submittals!H52</f>
        <v>Select the Submission Stage in Project Information</v>
      </c>
      <c r="C140" s="1907"/>
      <c r="D140" s="1907"/>
      <c r="E140" s="1907"/>
      <c r="F140" s="780" t="s">
        <v>62</v>
      </c>
      <c r="G140" s="1625"/>
      <c r="H140" s="1626"/>
      <c r="I140" s="4"/>
      <c r="J140" s="4"/>
      <c r="K140" s="4"/>
      <c r="L140" s="37" t="str">
        <f>IF(OR(B140="/",B140="No evidence required at this submission stage"),"Yes",IF(F140="Submitted","Yes","No"))</f>
        <v>No</v>
      </c>
    </row>
    <row r="141" spans="1:16" ht="30" customHeight="1" x14ac:dyDescent="0.25">
      <c r="A141" s="4"/>
      <c r="B141" s="1906" t="str">
        <f>Submittals!H53</f>
        <v>Select the Submission Stage in Project Information</v>
      </c>
      <c r="C141" s="1907"/>
      <c r="D141" s="1907"/>
      <c r="E141" s="1907"/>
      <c r="F141" s="780" t="s">
        <v>62</v>
      </c>
      <c r="G141" s="1625"/>
      <c r="H141" s="1626"/>
      <c r="I141" s="4"/>
      <c r="J141" s="4"/>
      <c r="K141" s="4"/>
      <c r="L141" s="37" t="str">
        <f>IF(OR(B141="/",B141="No evidence required at this submission stage"),"Yes",IF(F141="Submitted","Yes","No"))</f>
        <v>No</v>
      </c>
    </row>
    <row r="142" spans="1:16" ht="43.5" customHeight="1" x14ac:dyDescent="0.25">
      <c r="A142" s="4"/>
      <c r="B142" s="1906" t="str">
        <f>Submittals!H54</f>
        <v>Select the Submission Stage in Project Information</v>
      </c>
      <c r="C142" s="1907"/>
      <c r="D142" s="1907"/>
      <c r="E142" s="1907"/>
      <c r="F142" s="1251" t="s">
        <v>62</v>
      </c>
      <c r="G142" s="1625"/>
      <c r="H142" s="1626"/>
      <c r="I142" s="4"/>
      <c r="J142" s="4"/>
      <c r="K142" s="4"/>
      <c r="L142" s="37" t="str">
        <f>IF(OR(B142="/",B142="No evidence required at this submission stage"),"Yes",IF(OR(F142="Already approved at PC",F142="Submitted"),"Yes","No"))</f>
        <v>No</v>
      </c>
    </row>
    <row r="143" spans="1:16" ht="19.5" customHeight="1" x14ac:dyDescent="0.25">
      <c r="A143" s="4"/>
      <c r="B143" s="4"/>
      <c r="C143" s="4"/>
      <c r="D143" s="4"/>
      <c r="E143" s="4"/>
      <c r="F143" s="4"/>
      <c r="G143" s="4"/>
      <c r="H143" s="4"/>
      <c r="I143" s="4"/>
      <c r="J143" s="4"/>
      <c r="K143" s="4"/>
    </row>
    <row r="144" spans="1:16" ht="18" customHeight="1" x14ac:dyDescent="0.25">
      <c r="A144" s="1947" t="s">
        <v>8</v>
      </c>
      <c r="B144" s="1947"/>
      <c r="C144" s="1947"/>
      <c r="D144" s="1947"/>
      <c r="E144" s="1947"/>
      <c r="F144" s="1947"/>
      <c r="G144" s="1947"/>
      <c r="H144" s="1947"/>
      <c r="I144" s="1947"/>
      <c r="J144" s="1947"/>
      <c r="K144" s="1947"/>
    </row>
    <row r="145" spans="1:11" ht="14.25" customHeight="1" x14ac:dyDescent="0.25">
      <c r="A145" s="4"/>
      <c r="B145" s="4"/>
      <c r="C145" s="4"/>
      <c r="D145" s="4"/>
      <c r="E145" s="4"/>
      <c r="F145" s="4"/>
      <c r="G145" s="4"/>
      <c r="H145" s="4"/>
      <c r="I145" s="4"/>
      <c r="J145" s="4"/>
      <c r="K145" s="4"/>
    </row>
    <row r="146" spans="1:11" ht="18" customHeight="1" x14ac:dyDescent="0.25">
      <c r="A146" s="4"/>
      <c r="B146" s="178" t="s">
        <v>19</v>
      </c>
      <c r="C146" s="8">
        <f>IF(E135&gt;=0.6,10,IF(E135&gt;=0.55,9,IF(E135&gt;=0.5,8,IF(E135&gt;=0.45,7,IF(E135&gt;=0.4,6,IF(E135&gt;=0.35,5,IF(E135&gt;=0.3,4,IF(E135&gt;=0.25,3,IF(E135&gt;=0.2,2,IF(E135&gt;=0.15,1,0))))))))))</f>
        <v>0</v>
      </c>
      <c r="D146" s="4"/>
      <c r="E146" s="4"/>
      <c r="F146" s="4"/>
      <c r="G146" s="4"/>
      <c r="H146" s="4"/>
      <c r="I146" s="4"/>
      <c r="J146" s="4"/>
      <c r="K146" s="4"/>
    </row>
    <row r="147" spans="1:11" ht="18" customHeight="1" x14ac:dyDescent="0.25">
      <c r="A147" s="4"/>
      <c r="B147" s="179" t="s">
        <v>151</v>
      </c>
      <c r="C147" s="7" t="str">
        <f>IF(AND(COUNTIF(L140:L142,"Yes")=3,C146&gt;0),"Yes","No")</f>
        <v>No</v>
      </c>
      <c r="D147" s="4"/>
      <c r="E147" s="4"/>
      <c r="F147" s="4"/>
      <c r="G147" s="4"/>
      <c r="H147" s="4"/>
      <c r="I147" s="4"/>
      <c r="J147" s="4"/>
      <c r="K147" s="4"/>
    </row>
    <row r="148" spans="1:11" ht="15" x14ac:dyDescent="0.25">
      <c r="A148" s="4"/>
      <c r="B148" s="4"/>
      <c r="C148" s="4"/>
      <c r="D148" s="4"/>
      <c r="E148" s="4"/>
      <c r="F148" s="4"/>
      <c r="G148" s="4"/>
      <c r="H148" s="4"/>
      <c r="I148" s="4"/>
      <c r="J148" s="4"/>
      <c r="K148" s="4"/>
    </row>
    <row r="149" spans="1:11" ht="15" hidden="1" customHeight="1" x14ac:dyDescent="0.25"/>
    <row r="150" spans="1:11" ht="15" hidden="1" customHeight="1" x14ac:dyDescent="0.25"/>
    <row r="151" spans="1:11" ht="15" hidden="1" customHeight="1" x14ac:dyDescent="0.25"/>
    <row r="152" spans="1:11" ht="15" hidden="1" customHeight="1" x14ac:dyDescent="0.25"/>
    <row r="153" spans="1:11" ht="15" hidden="1" customHeight="1" x14ac:dyDescent="0.25"/>
    <row r="154" spans="1:11" ht="15" hidden="1" customHeight="1" x14ac:dyDescent="0.25"/>
    <row r="155" spans="1:11" ht="15" hidden="1" customHeight="1" x14ac:dyDescent="0.25"/>
    <row r="156" spans="1:11" ht="15" hidden="1" customHeight="1" x14ac:dyDescent="0.25"/>
    <row r="157" spans="1:11" ht="15" hidden="1" customHeight="1" x14ac:dyDescent="0.25"/>
    <row r="158" spans="1:11" ht="15" hidden="1" customHeight="1" x14ac:dyDescent="0.25"/>
    <row r="159" spans="1:11" ht="15" hidden="1" customHeight="1" x14ac:dyDescent="0.25"/>
    <row r="160" spans="1:11"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37.5" hidden="1" customHeight="1" x14ac:dyDescent="0.25"/>
    <row r="293" ht="15" hidden="1" customHeight="1" x14ac:dyDescent="0.25"/>
  </sheetData>
  <sheetProtection algorithmName="SHA-512" hashValue="ZYds2ibv/yHKwef+QgarKD1i/bNvnnKAlheCF9G5LqpYZzautrl6wMKHbT4fIKvrTF2LuldJ/G2PvbThqSufoQ==" saltValue="P3NpBvyYY8AwOYKSH558Ig==" spinCount="100000" sheet="1" objects="1" scenarios="1"/>
  <dataConsolidate/>
  <mergeCells count="209">
    <mergeCell ref="P93:P95"/>
    <mergeCell ref="P123:P125"/>
    <mergeCell ref="P126:P128"/>
    <mergeCell ref="P129:P131"/>
    <mergeCell ref="E133:F133"/>
    <mergeCell ref="E134:F134"/>
    <mergeCell ref="E135:F135"/>
    <mergeCell ref="P96:P98"/>
    <mergeCell ref="P99:P101"/>
    <mergeCell ref="P102:P104"/>
    <mergeCell ref="P105:P107"/>
    <mergeCell ref="P108:P110"/>
    <mergeCell ref="P111:P113"/>
    <mergeCell ref="P114:P116"/>
    <mergeCell ref="P117:P119"/>
    <mergeCell ref="P120:P122"/>
    <mergeCell ref="G96:G98"/>
    <mergeCell ref="H130:J130"/>
    <mergeCell ref="H131:J131"/>
    <mergeCell ref="H115:J115"/>
    <mergeCell ref="H116:J116"/>
    <mergeCell ref="H117:J117"/>
    <mergeCell ref="H118:J118"/>
    <mergeCell ref="H119:J119"/>
    <mergeCell ref="B44:F44"/>
    <mergeCell ref="O71:P71"/>
    <mergeCell ref="P72:P74"/>
    <mergeCell ref="P75:P77"/>
    <mergeCell ref="P78:P80"/>
    <mergeCell ref="P81:P83"/>
    <mergeCell ref="P84:P86"/>
    <mergeCell ref="P87:P89"/>
    <mergeCell ref="P90:P92"/>
    <mergeCell ref="H75:J75"/>
    <mergeCell ref="H76:J76"/>
    <mergeCell ref="B90:B92"/>
    <mergeCell ref="G78:G80"/>
    <mergeCell ref="G72:G74"/>
    <mergeCell ref="B75:B77"/>
    <mergeCell ref="G75:G77"/>
    <mergeCell ref="C75:C77"/>
    <mergeCell ref="B72:B74"/>
    <mergeCell ref="C90:C92"/>
    <mergeCell ref="G90:G92"/>
    <mergeCell ref="B87:B89"/>
    <mergeCell ref="C87:C89"/>
    <mergeCell ref="G87:G89"/>
    <mergeCell ref="G81:G83"/>
    <mergeCell ref="A144:K144"/>
    <mergeCell ref="B111:B113"/>
    <mergeCell ref="C111:C113"/>
    <mergeCell ref="G111:G113"/>
    <mergeCell ref="B123:B125"/>
    <mergeCell ref="B117:B119"/>
    <mergeCell ref="C117:C119"/>
    <mergeCell ref="G117:G119"/>
    <mergeCell ref="C126:C128"/>
    <mergeCell ref="G126:G128"/>
    <mergeCell ref="H111:J111"/>
    <mergeCell ref="B139:E139"/>
    <mergeCell ref="B140:E140"/>
    <mergeCell ref="B142:E142"/>
    <mergeCell ref="G139:H139"/>
    <mergeCell ref="G140:H140"/>
    <mergeCell ref="G142:H142"/>
    <mergeCell ref="B141:E141"/>
    <mergeCell ref="H120:J120"/>
    <mergeCell ref="A137:K137"/>
    <mergeCell ref="H128:J128"/>
    <mergeCell ref="H129:J129"/>
    <mergeCell ref="H126:J126"/>
    <mergeCell ref="H127:J127"/>
    <mergeCell ref="B93:B95"/>
    <mergeCell ref="C93:C95"/>
    <mergeCell ref="G93:G95"/>
    <mergeCell ref="H105:J105"/>
    <mergeCell ref="H96:J96"/>
    <mergeCell ref="H97:J97"/>
    <mergeCell ref="H98:J98"/>
    <mergeCell ref="H99:J99"/>
    <mergeCell ref="H100:J100"/>
    <mergeCell ref="H101:J101"/>
    <mergeCell ref="H102:J102"/>
    <mergeCell ref="H103:J103"/>
    <mergeCell ref="H104:J104"/>
    <mergeCell ref="B96:B98"/>
    <mergeCell ref="C96:C98"/>
    <mergeCell ref="B99:B101"/>
    <mergeCell ref="B105:B107"/>
    <mergeCell ref="C105:C107"/>
    <mergeCell ref="G105:G107"/>
    <mergeCell ref="H106:J106"/>
    <mergeCell ref="H107:J107"/>
    <mergeCell ref="C99:C101"/>
    <mergeCell ref="G99:G101"/>
    <mergeCell ref="B102:B104"/>
    <mergeCell ref="C102:C104"/>
    <mergeCell ref="G102:G104"/>
    <mergeCell ref="B133:D133"/>
    <mergeCell ref="B134:D134"/>
    <mergeCell ref="B135:D135"/>
    <mergeCell ref="G108:G110"/>
    <mergeCell ref="B114:B116"/>
    <mergeCell ref="C114:C116"/>
    <mergeCell ref="G114:G116"/>
    <mergeCell ref="H108:J108"/>
    <mergeCell ref="H109:J109"/>
    <mergeCell ref="H110:J110"/>
    <mergeCell ref="C123:C125"/>
    <mergeCell ref="G123:G125"/>
    <mergeCell ref="B120:B122"/>
    <mergeCell ref="H112:J112"/>
    <mergeCell ref="C120:C122"/>
    <mergeCell ref="G120:G122"/>
    <mergeCell ref="B108:B110"/>
    <mergeCell ref="C108:C110"/>
    <mergeCell ref="H125:J125"/>
    <mergeCell ref="B33:F33"/>
    <mergeCell ref="B59:C59"/>
    <mergeCell ref="D59:E59"/>
    <mergeCell ref="B64:C64"/>
    <mergeCell ref="D64:E64"/>
    <mergeCell ref="B57:C57"/>
    <mergeCell ref="D53:E53"/>
    <mergeCell ref="D54:E54"/>
    <mergeCell ref="D55:E55"/>
    <mergeCell ref="B34:F34"/>
    <mergeCell ref="B35:F35"/>
    <mergeCell ref="B36:F36"/>
    <mergeCell ref="B37:F37"/>
    <mergeCell ref="B38:F38"/>
    <mergeCell ref="B41:F41"/>
    <mergeCell ref="B42:F42"/>
    <mergeCell ref="B43:F43"/>
    <mergeCell ref="A46:K46"/>
    <mergeCell ref="B52:D52"/>
    <mergeCell ref="B53:C53"/>
    <mergeCell ref="B54:C54"/>
    <mergeCell ref="D56:E56"/>
    <mergeCell ref="D57:E57"/>
    <mergeCell ref="D58:E58"/>
    <mergeCell ref="A1:K1"/>
    <mergeCell ref="B11:E11"/>
    <mergeCell ref="B12:E12"/>
    <mergeCell ref="A9:K9"/>
    <mergeCell ref="A5:K7"/>
    <mergeCell ref="K2:K4"/>
    <mergeCell ref="I2:J4"/>
    <mergeCell ref="B31:F31"/>
    <mergeCell ref="B32:F32"/>
    <mergeCell ref="A14:K14"/>
    <mergeCell ref="B78:B80"/>
    <mergeCell ref="C78:C80"/>
    <mergeCell ref="D66:E66"/>
    <mergeCell ref="B56:C56"/>
    <mergeCell ref="B60:C60"/>
    <mergeCell ref="G141:H141"/>
    <mergeCell ref="B81:B83"/>
    <mergeCell ref="C81:C83"/>
    <mergeCell ref="B84:B86"/>
    <mergeCell ref="C84:C86"/>
    <mergeCell ref="G84:G86"/>
    <mergeCell ref="B129:B131"/>
    <mergeCell ref="C129:C131"/>
    <mergeCell ref="G129:G131"/>
    <mergeCell ref="B126:B128"/>
    <mergeCell ref="H86:J86"/>
    <mergeCell ref="H87:J87"/>
    <mergeCell ref="H88:J88"/>
    <mergeCell ref="H89:J89"/>
    <mergeCell ref="H90:J90"/>
    <mergeCell ref="H91:J91"/>
    <mergeCell ref="H113:J113"/>
    <mergeCell ref="H114:J114"/>
    <mergeCell ref="H124:J124"/>
    <mergeCell ref="D63:E63"/>
    <mergeCell ref="D65:E65"/>
    <mergeCell ref="C72:C74"/>
    <mergeCell ref="B61:C61"/>
    <mergeCell ref="B62:C62"/>
    <mergeCell ref="D62:E62"/>
    <mergeCell ref="D61:E61"/>
    <mergeCell ref="D71:E71"/>
    <mergeCell ref="H74:J74"/>
    <mergeCell ref="B66:C66"/>
    <mergeCell ref="B55:C55"/>
    <mergeCell ref="D60:E60"/>
    <mergeCell ref="B58:C58"/>
    <mergeCell ref="H121:J121"/>
    <mergeCell ref="H122:J122"/>
    <mergeCell ref="H123:J123"/>
    <mergeCell ref="H77:J77"/>
    <mergeCell ref="H78:J78"/>
    <mergeCell ref="H79:J79"/>
    <mergeCell ref="H80:J80"/>
    <mergeCell ref="H82:J82"/>
    <mergeCell ref="H83:J83"/>
    <mergeCell ref="H84:J84"/>
    <mergeCell ref="H81:J81"/>
    <mergeCell ref="H85:J85"/>
    <mergeCell ref="H92:J92"/>
    <mergeCell ref="H93:J93"/>
    <mergeCell ref="H94:J94"/>
    <mergeCell ref="H95:J95"/>
    <mergeCell ref="H71:J71"/>
    <mergeCell ref="H72:J72"/>
    <mergeCell ref="H73:J73"/>
    <mergeCell ref="B63:C63"/>
    <mergeCell ref="B65:C65"/>
  </mergeCells>
  <conditionalFormatting sqref="F140:H141 G142:H142">
    <cfRule type="expression" dxfId="486" priority="144">
      <formula>$B140="/"</formula>
    </cfRule>
    <cfRule type="expression" dxfId="485" priority="145">
      <formula>$B140="No evidence required at this submission stage"</formula>
    </cfRule>
  </conditionalFormatting>
  <conditionalFormatting sqref="E74">
    <cfRule type="expression" dxfId="484" priority="138">
      <formula>$N74&lt;&gt;1</formula>
    </cfRule>
  </conditionalFormatting>
  <conditionalFormatting sqref="E73">
    <cfRule type="expression" dxfId="483" priority="132">
      <formula>$N73&lt;&gt;1</formula>
    </cfRule>
  </conditionalFormatting>
  <conditionalFormatting sqref="E92">
    <cfRule type="expression" dxfId="482" priority="42">
      <formula>$N92&lt;&gt;1</formula>
    </cfRule>
  </conditionalFormatting>
  <conditionalFormatting sqref="E84">
    <cfRule type="expression" dxfId="481" priority="46">
      <formula>$N84&lt;&gt;1</formula>
    </cfRule>
  </conditionalFormatting>
  <conditionalFormatting sqref="E88">
    <cfRule type="expression" dxfId="480" priority="44">
      <formula>$N88&lt;&gt;1</formula>
    </cfRule>
  </conditionalFormatting>
  <conditionalFormatting sqref="E89">
    <cfRule type="expression" dxfId="479" priority="45">
      <formula>$N89&lt;&gt;1</formula>
    </cfRule>
  </conditionalFormatting>
  <conditionalFormatting sqref="E85">
    <cfRule type="expression" dxfId="478" priority="47">
      <formula>$N85&lt;&gt;1</formula>
    </cfRule>
  </conditionalFormatting>
  <conditionalFormatting sqref="E87">
    <cfRule type="expression" dxfId="477" priority="43">
      <formula>$N87&lt;&gt;1</formula>
    </cfRule>
  </conditionalFormatting>
  <conditionalFormatting sqref="E78">
    <cfRule type="expression" dxfId="476" priority="52">
      <formula>$N78&lt;&gt;1</formula>
    </cfRule>
  </conditionalFormatting>
  <conditionalFormatting sqref="E83">
    <cfRule type="expression" dxfId="475" priority="51">
      <formula>$N83&lt;&gt;1</formula>
    </cfRule>
  </conditionalFormatting>
  <conditionalFormatting sqref="E75">
    <cfRule type="expression" dxfId="474" priority="55">
      <formula>$N75&lt;&gt;1</formula>
    </cfRule>
  </conditionalFormatting>
  <conditionalFormatting sqref="E90">
    <cfRule type="expression" dxfId="473" priority="40">
      <formula>$N90&lt;&gt;1</formula>
    </cfRule>
  </conditionalFormatting>
  <conditionalFormatting sqref="E95">
    <cfRule type="expression" dxfId="472" priority="39">
      <formula>$N95&lt;&gt;1</formula>
    </cfRule>
  </conditionalFormatting>
  <conditionalFormatting sqref="E86">
    <cfRule type="expression" dxfId="471" priority="48">
      <formula>$N86&lt;&gt;1</formula>
    </cfRule>
  </conditionalFormatting>
  <conditionalFormatting sqref="E82">
    <cfRule type="expression" dxfId="470" priority="50">
      <formula>$N82&lt;&gt;1</formula>
    </cfRule>
  </conditionalFormatting>
  <conditionalFormatting sqref="E81">
    <cfRule type="expression" dxfId="469" priority="49">
      <formula>$N81&lt;&gt;1</formula>
    </cfRule>
  </conditionalFormatting>
  <conditionalFormatting sqref="E80">
    <cfRule type="expression" dxfId="468" priority="54">
      <formula>$N80&lt;&gt;1</formula>
    </cfRule>
  </conditionalFormatting>
  <conditionalFormatting sqref="E79">
    <cfRule type="expression" dxfId="467" priority="53">
      <formula>$N79&lt;&gt;1</formula>
    </cfRule>
  </conditionalFormatting>
  <conditionalFormatting sqref="E72">
    <cfRule type="expression" dxfId="466" priority="58">
      <formula>$N72&lt;&gt;1</formula>
    </cfRule>
  </conditionalFormatting>
  <conditionalFormatting sqref="E77">
    <cfRule type="expression" dxfId="465" priority="57">
      <formula>$N77&lt;&gt;1</formula>
    </cfRule>
  </conditionalFormatting>
  <conditionalFormatting sqref="E76">
    <cfRule type="expression" dxfId="464" priority="56">
      <formula>$N76&lt;&gt;1</formula>
    </cfRule>
  </conditionalFormatting>
  <conditionalFormatting sqref="F142">
    <cfRule type="expression" dxfId="463" priority="59">
      <formula>$B142="/"</formula>
    </cfRule>
    <cfRule type="expression" dxfId="462" priority="60">
      <formula>$B142="No evidence required at this submission stage"</formula>
    </cfRule>
  </conditionalFormatting>
  <conditionalFormatting sqref="E91">
    <cfRule type="expression" dxfId="461" priority="41">
      <formula>$N91&lt;&gt;1</formula>
    </cfRule>
  </conditionalFormatting>
  <conditionalFormatting sqref="E94">
    <cfRule type="expression" dxfId="460" priority="38">
      <formula>$N94&lt;&gt;1</formula>
    </cfRule>
  </conditionalFormatting>
  <conditionalFormatting sqref="E93">
    <cfRule type="expression" dxfId="459" priority="37">
      <formula>$N93&lt;&gt;1</formula>
    </cfRule>
  </conditionalFormatting>
  <conditionalFormatting sqref="E98">
    <cfRule type="expression" dxfId="458" priority="36">
      <formula>$N98&lt;&gt;1</formula>
    </cfRule>
  </conditionalFormatting>
  <conditionalFormatting sqref="E97">
    <cfRule type="expression" dxfId="457" priority="35">
      <formula>$N97&lt;&gt;1</formula>
    </cfRule>
  </conditionalFormatting>
  <conditionalFormatting sqref="E96">
    <cfRule type="expression" dxfId="456" priority="34">
      <formula>$N96&lt;&gt;1</formula>
    </cfRule>
  </conditionalFormatting>
  <conditionalFormatting sqref="E101">
    <cfRule type="expression" dxfId="455" priority="33">
      <formula>$N101&lt;&gt;1</formula>
    </cfRule>
  </conditionalFormatting>
  <conditionalFormatting sqref="E100">
    <cfRule type="expression" dxfId="454" priority="32">
      <formula>$N100&lt;&gt;1</formula>
    </cfRule>
  </conditionalFormatting>
  <conditionalFormatting sqref="E99">
    <cfRule type="expression" dxfId="453" priority="31">
      <formula>$N99&lt;&gt;1</formula>
    </cfRule>
  </conditionalFormatting>
  <conditionalFormatting sqref="E104">
    <cfRule type="expression" dxfId="452" priority="30">
      <formula>$N104&lt;&gt;1</formula>
    </cfRule>
  </conditionalFormatting>
  <conditionalFormatting sqref="E103">
    <cfRule type="expression" dxfId="451" priority="29">
      <formula>$N103&lt;&gt;1</formula>
    </cfRule>
  </conditionalFormatting>
  <conditionalFormatting sqref="E102">
    <cfRule type="expression" dxfId="450" priority="28">
      <formula>$N102&lt;&gt;1</formula>
    </cfRule>
  </conditionalFormatting>
  <conditionalFormatting sqref="E107">
    <cfRule type="expression" dxfId="449" priority="27">
      <formula>$N107&lt;&gt;1</formula>
    </cfRule>
  </conditionalFormatting>
  <conditionalFormatting sqref="E106">
    <cfRule type="expression" dxfId="448" priority="26">
      <formula>$N106&lt;&gt;1</formula>
    </cfRule>
  </conditionalFormatting>
  <conditionalFormatting sqref="E105">
    <cfRule type="expression" dxfId="447" priority="25">
      <formula>$N105&lt;&gt;1</formula>
    </cfRule>
  </conditionalFormatting>
  <conditionalFormatting sqref="E110">
    <cfRule type="expression" dxfId="446" priority="24">
      <formula>$N110&lt;&gt;1</formula>
    </cfRule>
  </conditionalFormatting>
  <conditionalFormatting sqref="E109">
    <cfRule type="expression" dxfId="445" priority="23">
      <formula>$N109&lt;&gt;1</formula>
    </cfRule>
  </conditionalFormatting>
  <conditionalFormatting sqref="E108">
    <cfRule type="expression" dxfId="444" priority="22">
      <formula>$N108&lt;&gt;1</formula>
    </cfRule>
  </conditionalFormatting>
  <conditionalFormatting sqref="E113">
    <cfRule type="expression" dxfId="443" priority="21">
      <formula>$N113&lt;&gt;1</formula>
    </cfRule>
  </conditionalFormatting>
  <conditionalFormatting sqref="E112">
    <cfRule type="expression" dxfId="442" priority="20">
      <formula>$N112&lt;&gt;1</formula>
    </cfRule>
  </conditionalFormatting>
  <conditionalFormatting sqref="E111">
    <cfRule type="expression" dxfId="441" priority="19">
      <formula>$N111&lt;&gt;1</formula>
    </cfRule>
  </conditionalFormatting>
  <conditionalFormatting sqref="E116">
    <cfRule type="expression" dxfId="440" priority="18">
      <formula>$N116&lt;&gt;1</formula>
    </cfRule>
  </conditionalFormatting>
  <conditionalFormatting sqref="E115">
    <cfRule type="expression" dxfId="439" priority="17">
      <formula>$N115&lt;&gt;1</formula>
    </cfRule>
  </conditionalFormatting>
  <conditionalFormatting sqref="E114">
    <cfRule type="expression" dxfId="438" priority="16">
      <formula>$N114&lt;&gt;1</formula>
    </cfRule>
  </conditionalFormatting>
  <conditionalFormatting sqref="E119">
    <cfRule type="expression" dxfId="437" priority="15">
      <formula>$N119&lt;&gt;1</formula>
    </cfRule>
  </conditionalFormatting>
  <conditionalFormatting sqref="E118">
    <cfRule type="expression" dxfId="436" priority="14">
      <formula>$N118&lt;&gt;1</formula>
    </cfRule>
  </conditionalFormatting>
  <conditionalFormatting sqref="E117">
    <cfRule type="expression" dxfId="435" priority="13">
      <formula>$N117&lt;&gt;1</formula>
    </cfRule>
  </conditionalFormatting>
  <conditionalFormatting sqref="E122">
    <cfRule type="expression" dxfId="434" priority="12">
      <formula>$N122&lt;&gt;1</formula>
    </cfRule>
  </conditionalFormatting>
  <conditionalFormatting sqref="E121">
    <cfRule type="expression" dxfId="433" priority="11">
      <formula>$N121&lt;&gt;1</formula>
    </cfRule>
  </conditionalFormatting>
  <conditionalFormatting sqref="E120">
    <cfRule type="expression" dxfId="432" priority="10">
      <formula>$N120&lt;&gt;1</formula>
    </cfRule>
  </conditionalFormatting>
  <conditionalFormatting sqref="E125">
    <cfRule type="expression" dxfId="431" priority="9">
      <formula>$N125&lt;&gt;1</formula>
    </cfRule>
  </conditionalFormatting>
  <conditionalFormatting sqref="E124">
    <cfRule type="expression" dxfId="430" priority="8">
      <formula>$N124&lt;&gt;1</formula>
    </cfRule>
  </conditionalFormatting>
  <conditionalFormatting sqref="E123">
    <cfRule type="expression" dxfId="429" priority="7">
      <formula>$N123&lt;&gt;1</formula>
    </cfRule>
  </conditionalFormatting>
  <conditionalFormatting sqref="E128">
    <cfRule type="expression" dxfId="428" priority="6">
      <formula>$N128&lt;&gt;1</formula>
    </cfRule>
  </conditionalFormatting>
  <conditionalFormatting sqref="E127">
    <cfRule type="expression" dxfId="427" priority="5">
      <formula>$N127&lt;&gt;1</formula>
    </cfRule>
  </conditionalFormatting>
  <conditionalFormatting sqref="E126">
    <cfRule type="expression" dxfId="426" priority="4">
      <formula>$N126&lt;&gt;1</formula>
    </cfRule>
  </conditionalFormatting>
  <conditionalFormatting sqref="E131">
    <cfRule type="expression" dxfId="425" priority="3">
      <formula>$N131&lt;&gt;1</formula>
    </cfRule>
  </conditionalFormatting>
  <conditionalFormatting sqref="E130">
    <cfRule type="expression" dxfId="424" priority="2">
      <formula>$N130&lt;&gt;1</formula>
    </cfRule>
  </conditionalFormatting>
  <conditionalFormatting sqref="E129">
    <cfRule type="expression" dxfId="423" priority="1">
      <formula>$N129&lt;&gt;1</formula>
    </cfRule>
  </conditionalFormatting>
  <dataValidations count="6">
    <dataValidation type="list" allowBlank="1" showInputMessage="1" showErrorMessage="1" sqref="F140:F141">
      <formula1>"Select,Submitted,Not submitted"</formula1>
    </dataValidation>
    <dataValidation allowBlank="1" showInputMessage="1" showErrorMessage="1" prompt="Describe the sustainable features of the furniture" sqref="H71"/>
    <dataValidation allowBlank="1" showInputMessage="1" showErrorMessage="1" prompt="Enter relevant information on the sustainable features of the materials: origin of reused materials, % of pre-consumer recycled content, % of post-consumer recycled content, transportation distance, etc. " sqref="H72:H131"/>
    <dataValidation type="list" allowBlank="1" showInputMessage="1" showErrorMessage="1" sqref="D72:D131">
      <formula1>Sustainable_Materials</formula1>
    </dataValidation>
    <dataValidation type="list" allowBlank="1" showInputMessage="1" showErrorMessage="1" sqref="F142">
      <formula1>Sub_FC</formula1>
    </dataValidation>
    <dataValidation allowBlank="1" showInputMessage="1" showErrorMessage="1" prompt="Enter either the:_x000a_- % of reused components (by mass)._x000a_- % of recycled content._x000a_- % of rapidly renewable material_x000a_- % of sustainable timber_x000a_- level of certification_x000a_Else, do not complete the cell." sqref="E72:E131"/>
  </dataValidations>
  <hyperlinks>
    <hyperlink ref="K2" location="'M-5 Roofing materials'!A1" tooltip="M-5" display="M-5"/>
    <hyperlink ref="K2:K4" location="'M-2 Sustainable Furniture'!B3" tooltip="M-2" display="M-2"/>
  </hyperlink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5F4970"/>
  </sheetPr>
  <dimension ref="A1:P130"/>
  <sheetViews>
    <sheetView showRowColHeaders="0" zoomScaleNormal="100" workbookViewId="0">
      <pane ySplit="8" topLeftCell="A9" activePane="bottomLeft" state="frozen"/>
      <selection pane="bottomLeft" activeCell="L1" sqref="L1:XFD1048576"/>
    </sheetView>
  </sheetViews>
  <sheetFormatPr defaultColWidth="0" defaultRowHeight="0" customHeight="1" zeroHeight="1" x14ac:dyDescent="0.25"/>
  <cols>
    <col min="1" max="1" width="4.7109375" customWidth="1"/>
    <col min="2" max="2" width="23.140625" customWidth="1"/>
    <col min="3" max="3" width="21.5703125" customWidth="1"/>
    <col min="4" max="4" width="36.140625" customWidth="1"/>
    <col min="5" max="5" width="10.28515625" customWidth="1"/>
    <col min="6" max="8" width="17.7109375" customWidth="1"/>
    <col min="9" max="9" width="18.140625" customWidth="1"/>
    <col min="10" max="10" width="7.5703125" customWidth="1"/>
    <col min="11" max="11" width="8.5703125" customWidth="1"/>
    <col min="12" max="12" width="9.140625" hidden="1"/>
    <col min="13" max="13" width="6.140625" hidden="1"/>
    <col min="14" max="16384" width="9.140625" hidden="1"/>
  </cols>
  <sheetData>
    <row r="1" spans="1:13" ht="25.5" customHeight="1" x14ac:dyDescent="0.25">
      <c r="A1" s="1920" t="s">
        <v>407</v>
      </c>
      <c r="B1" s="1920"/>
      <c r="C1" s="1920"/>
      <c r="D1" s="1920"/>
      <c r="E1" s="1920"/>
      <c r="F1" s="1920"/>
      <c r="G1" s="1920"/>
      <c r="H1" s="1920"/>
      <c r="I1" s="1920"/>
      <c r="J1" s="1920"/>
      <c r="K1" s="1920"/>
    </row>
    <row r="2" spans="1:13" ht="15" customHeight="1" x14ac:dyDescent="0.25">
      <c r="A2" s="4"/>
      <c r="B2" s="4"/>
      <c r="C2" s="4"/>
      <c r="D2" s="4"/>
      <c r="E2" s="4"/>
      <c r="F2" s="4"/>
      <c r="G2" s="5"/>
      <c r="H2" s="1898" t="s">
        <v>1701</v>
      </c>
      <c r="I2" s="1898"/>
      <c r="J2" s="1898"/>
      <c r="K2" s="1948" t="s">
        <v>21</v>
      </c>
    </row>
    <row r="3" spans="1:13" ht="15" customHeight="1" x14ac:dyDescent="0.25">
      <c r="A3" s="4"/>
      <c r="B3" s="4"/>
      <c r="C3" s="4"/>
      <c r="D3" s="4"/>
      <c r="E3" s="4"/>
      <c r="F3" s="4"/>
      <c r="G3" s="5"/>
      <c r="H3" s="1898"/>
      <c r="I3" s="1898"/>
      <c r="J3" s="1898"/>
      <c r="K3" s="1948"/>
    </row>
    <row r="4" spans="1:13" ht="15" customHeight="1" x14ac:dyDescent="0.25">
      <c r="A4" s="4"/>
      <c r="B4" s="4"/>
      <c r="C4" s="4"/>
      <c r="D4" s="4"/>
      <c r="E4" s="4"/>
      <c r="F4" s="4"/>
      <c r="G4" s="5"/>
      <c r="H4" s="1899"/>
      <c r="I4" s="1899"/>
      <c r="J4" s="1899"/>
      <c r="K4" s="1949"/>
    </row>
    <row r="5" spans="1:13" s="37" customFormat="1" ht="17.25" customHeight="1" x14ac:dyDescent="0.25">
      <c r="A5" s="1704" t="s">
        <v>2705</v>
      </c>
      <c r="B5" s="1705"/>
      <c r="C5" s="1705"/>
      <c r="D5" s="1705"/>
      <c r="E5" s="1705"/>
      <c r="F5" s="1705"/>
      <c r="G5" s="1705"/>
      <c r="H5" s="1705"/>
      <c r="I5" s="1705"/>
      <c r="J5" s="1705"/>
      <c r="K5" s="1706"/>
      <c r="L5"/>
      <c r="M5"/>
    </row>
    <row r="6" spans="1:13" s="37" customFormat="1" ht="17.25" customHeight="1" x14ac:dyDescent="0.25">
      <c r="A6" s="1707"/>
      <c r="B6" s="1708"/>
      <c r="C6" s="1708"/>
      <c r="D6" s="1708"/>
      <c r="E6" s="1708"/>
      <c r="F6" s="1708"/>
      <c r="G6" s="1708"/>
      <c r="H6" s="1708"/>
      <c r="I6" s="1708"/>
      <c r="J6" s="1708"/>
      <c r="K6" s="1709"/>
      <c r="L6"/>
      <c r="M6"/>
    </row>
    <row r="7" spans="1:13" s="37" customFormat="1" ht="17.25" customHeight="1" x14ac:dyDescent="0.25">
      <c r="A7" s="1710"/>
      <c r="B7" s="1711"/>
      <c r="C7" s="1711"/>
      <c r="D7" s="1711"/>
      <c r="E7" s="1711"/>
      <c r="F7" s="1711"/>
      <c r="G7" s="1711"/>
      <c r="H7" s="1711"/>
      <c r="I7" s="1711"/>
      <c r="J7" s="1711"/>
      <c r="K7" s="1712"/>
      <c r="L7"/>
      <c r="M7"/>
    </row>
    <row r="8" spans="1:13" s="37" customFormat="1" ht="10.5" customHeight="1" x14ac:dyDescent="0.25">
      <c r="A8" s="48"/>
      <c r="B8" s="49"/>
      <c r="C8" s="49"/>
      <c r="D8" s="49"/>
      <c r="E8" s="49"/>
      <c r="F8" s="48"/>
      <c r="G8" s="48"/>
      <c r="H8" s="48"/>
      <c r="I8" s="48"/>
      <c r="J8" s="48"/>
      <c r="K8" s="48"/>
      <c r="L8"/>
      <c r="M8"/>
    </row>
    <row r="9" spans="1:13" ht="18" customHeight="1" x14ac:dyDescent="0.25">
      <c r="A9" s="1947" t="s">
        <v>95</v>
      </c>
      <c r="B9" s="1947"/>
      <c r="C9" s="1947"/>
      <c r="D9" s="1947"/>
      <c r="E9" s="1947"/>
      <c r="F9" s="1947"/>
      <c r="G9" s="1947"/>
      <c r="H9" s="1947"/>
      <c r="I9" s="1947"/>
      <c r="J9" s="1947"/>
      <c r="K9" s="1947"/>
    </row>
    <row r="10" spans="1:13" ht="15" x14ac:dyDescent="0.25">
      <c r="A10" s="5"/>
      <c r="B10" s="4"/>
      <c r="C10" s="4"/>
      <c r="D10" s="4"/>
      <c r="E10" s="4"/>
      <c r="F10" s="5"/>
      <c r="G10" s="5"/>
      <c r="H10" s="5"/>
      <c r="I10" s="5"/>
      <c r="J10" s="5"/>
      <c r="K10" s="5"/>
    </row>
    <row r="11" spans="1:13" ht="21" customHeight="1" x14ac:dyDescent="0.25">
      <c r="A11" s="5"/>
      <c r="B11" s="1942" t="s">
        <v>96</v>
      </c>
      <c r="C11" s="1943"/>
      <c r="D11" s="1943"/>
      <c r="E11" s="1943"/>
      <c r="F11" s="281" t="s">
        <v>75</v>
      </c>
      <c r="G11" s="281" t="s">
        <v>19</v>
      </c>
      <c r="H11" s="177" t="s">
        <v>151</v>
      </c>
      <c r="I11" s="5"/>
      <c r="J11" s="5"/>
      <c r="K11" s="5"/>
    </row>
    <row r="12" spans="1:13" ht="43.5" customHeight="1" x14ac:dyDescent="0.25">
      <c r="A12" s="5"/>
      <c r="B12" s="1944" t="s">
        <v>1080</v>
      </c>
      <c r="C12" s="1945"/>
      <c r="D12" s="1945"/>
      <c r="E12" s="1946"/>
      <c r="F12" s="280">
        <v>4</v>
      </c>
      <c r="G12" s="278">
        <f>C120</f>
        <v>0</v>
      </c>
      <c r="H12" s="279" t="str">
        <f>C121</f>
        <v>No</v>
      </c>
      <c r="I12" s="5"/>
      <c r="J12" s="5"/>
      <c r="K12" s="5"/>
    </row>
    <row r="13" spans="1:13" ht="15" x14ac:dyDescent="0.25">
      <c r="A13" s="5"/>
      <c r="B13" s="4"/>
      <c r="C13" s="4"/>
      <c r="D13" s="4"/>
      <c r="E13" s="4"/>
      <c r="F13" s="5"/>
      <c r="G13" s="5"/>
      <c r="H13" s="5"/>
      <c r="I13" s="5"/>
      <c r="J13" s="5"/>
      <c r="K13" s="5"/>
    </row>
    <row r="14" spans="1:13" ht="18" customHeight="1" x14ac:dyDescent="0.25">
      <c r="A14" s="1947" t="s">
        <v>117</v>
      </c>
      <c r="B14" s="1947"/>
      <c r="C14" s="1947"/>
      <c r="D14" s="1947"/>
      <c r="E14" s="1947"/>
      <c r="F14" s="1947"/>
      <c r="G14" s="1947"/>
      <c r="H14" s="1947"/>
      <c r="I14" s="1947"/>
      <c r="J14" s="1947"/>
      <c r="K14" s="1947"/>
    </row>
    <row r="15" spans="1:13" ht="15" x14ac:dyDescent="0.25">
      <c r="A15" s="4"/>
      <c r="B15" s="4"/>
      <c r="C15" s="4"/>
      <c r="D15" s="4"/>
      <c r="E15" s="4"/>
      <c r="F15" s="4"/>
      <c r="G15" s="4"/>
      <c r="H15" s="4"/>
      <c r="I15" s="4"/>
      <c r="J15" s="4"/>
      <c r="K15" s="4"/>
    </row>
    <row r="16" spans="1:13" ht="15" x14ac:dyDescent="0.25">
      <c r="A16" s="4"/>
      <c r="B16" s="701" t="s">
        <v>1082</v>
      </c>
      <c r="C16" s="4"/>
      <c r="D16" s="4"/>
      <c r="E16" s="4"/>
      <c r="F16" s="4"/>
      <c r="G16" s="4"/>
      <c r="H16" s="4"/>
      <c r="I16" s="4"/>
      <c r="J16" s="4"/>
      <c r="K16" s="4"/>
    </row>
    <row r="17" spans="1:11" ht="15" x14ac:dyDescent="0.25">
      <c r="A17" s="4"/>
      <c r="B17" s="4"/>
      <c r="C17" s="4"/>
      <c r="D17" s="4"/>
      <c r="E17" s="4"/>
      <c r="F17" s="4"/>
      <c r="G17" s="4"/>
      <c r="H17" s="4"/>
      <c r="I17" s="4"/>
      <c r="J17" s="4"/>
      <c r="K17" s="4"/>
    </row>
    <row r="18" spans="1:11" ht="12" customHeight="1" x14ac:dyDescent="0.25">
      <c r="A18" s="4"/>
      <c r="B18" s="773" t="s">
        <v>2132</v>
      </c>
      <c r="C18" s="4"/>
      <c r="D18" s="4"/>
      <c r="E18" s="4"/>
      <c r="F18" s="4"/>
      <c r="G18" s="4"/>
      <c r="H18" s="4"/>
      <c r="I18" s="4"/>
      <c r="J18" s="4"/>
      <c r="K18" s="4"/>
    </row>
    <row r="19" spans="1:11" ht="15" x14ac:dyDescent="0.25">
      <c r="A19" s="4"/>
      <c r="B19" s="773" t="s">
        <v>408</v>
      </c>
      <c r="C19" s="4"/>
      <c r="D19" s="4"/>
      <c r="E19" s="4"/>
      <c r="F19" s="4"/>
      <c r="G19" s="4"/>
      <c r="H19" s="4"/>
      <c r="I19" s="4"/>
      <c r="J19" s="4"/>
      <c r="K19" s="4"/>
    </row>
    <row r="20" spans="1:11" ht="15" x14ac:dyDescent="0.25">
      <c r="A20" s="4"/>
      <c r="B20" s="774" t="s">
        <v>409</v>
      </c>
      <c r="C20" s="4"/>
      <c r="D20" s="4"/>
      <c r="E20" s="4"/>
      <c r="F20" s="4"/>
      <c r="G20" s="4"/>
      <c r="H20" s="4"/>
      <c r="I20" s="4"/>
      <c r="J20" s="4"/>
      <c r="K20" s="4"/>
    </row>
    <row r="21" spans="1:11" ht="15" x14ac:dyDescent="0.25">
      <c r="A21" s="4"/>
      <c r="B21" s="774" t="s">
        <v>410</v>
      </c>
      <c r="C21" s="4"/>
      <c r="D21" s="4"/>
      <c r="E21" s="4"/>
      <c r="F21" s="4"/>
      <c r="G21" s="4"/>
      <c r="H21" s="4"/>
      <c r="I21" s="4"/>
      <c r="J21" s="4"/>
      <c r="K21" s="4"/>
    </row>
    <row r="22" spans="1:11" ht="15" x14ac:dyDescent="0.25">
      <c r="A22" s="4"/>
      <c r="B22" s="774" t="s">
        <v>1798</v>
      </c>
      <c r="C22" s="4"/>
      <c r="D22" s="4"/>
      <c r="E22" s="4"/>
      <c r="F22" s="4"/>
      <c r="G22" s="4"/>
      <c r="H22" s="4"/>
      <c r="I22" s="4"/>
      <c r="J22" s="4"/>
      <c r="K22" s="4"/>
    </row>
    <row r="23" spans="1:11" ht="15" x14ac:dyDescent="0.25">
      <c r="A23" s="4"/>
      <c r="B23" s="774" t="s">
        <v>411</v>
      </c>
      <c r="C23" s="4"/>
      <c r="D23" s="4"/>
      <c r="E23" s="4"/>
      <c r="F23" s="4"/>
      <c r="G23" s="4"/>
      <c r="H23" s="4"/>
      <c r="I23" s="4"/>
      <c r="J23" s="4"/>
      <c r="K23" s="4"/>
    </row>
    <row r="24" spans="1:11" ht="15" x14ac:dyDescent="0.25">
      <c r="A24" s="4"/>
      <c r="B24" s="4"/>
      <c r="C24" s="4"/>
      <c r="D24" s="4"/>
      <c r="E24" s="4"/>
      <c r="F24" s="4"/>
      <c r="G24" s="4"/>
      <c r="H24" s="4"/>
      <c r="I24" s="4"/>
      <c r="J24" s="4"/>
      <c r="K24" s="4"/>
    </row>
    <row r="25" spans="1:11" ht="15" x14ac:dyDescent="0.25">
      <c r="A25" s="4"/>
      <c r="B25" s="1970" t="s">
        <v>2707</v>
      </c>
      <c r="C25" s="1971"/>
      <c r="D25" s="1971"/>
      <c r="E25" s="1971"/>
      <c r="F25" s="1971"/>
      <c r="G25" s="1158"/>
      <c r="H25" s="4"/>
      <c r="I25" s="4"/>
      <c r="J25" s="4"/>
      <c r="K25" s="4"/>
    </row>
    <row r="26" spans="1:11" ht="15" x14ac:dyDescent="0.25">
      <c r="A26" s="4"/>
      <c r="B26" s="1972" t="s">
        <v>2133</v>
      </c>
      <c r="C26" s="1973"/>
      <c r="D26" s="1973"/>
      <c r="E26" s="1973"/>
      <c r="F26" s="1974"/>
      <c r="G26" s="4"/>
      <c r="H26" s="4"/>
      <c r="I26" s="4"/>
      <c r="J26" s="4"/>
      <c r="K26" s="4"/>
    </row>
    <row r="27" spans="1:11" ht="15" x14ac:dyDescent="0.25">
      <c r="A27" s="4"/>
      <c r="B27" s="1972" t="s">
        <v>2134</v>
      </c>
      <c r="C27" s="1973"/>
      <c r="D27" s="1973"/>
      <c r="E27" s="1973"/>
      <c r="F27" s="1974"/>
      <c r="G27" s="4"/>
      <c r="H27" s="4"/>
      <c r="I27" s="4"/>
      <c r="J27" s="4"/>
      <c r="K27" s="4"/>
    </row>
    <row r="28" spans="1:11" ht="15" x14ac:dyDescent="0.25">
      <c r="A28" s="4"/>
      <c r="B28" s="1972" t="s">
        <v>2135</v>
      </c>
      <c r="C28" s="1973"/>
      <c r="D28" s="1973"/>
      <c r="E28" s="1973"/>
      <c r="F28" s="1974"/>
      <c r="G28" s="4"/>
      <c r="H28" s="4"/>
      <c r="I28" s="4"/>
      <c r="J28" s="4"/>
      <c r="K28" s="4"/>
    </row>
    <row r="29" spans="1:11" ht="15" x14ac:dyDescent="0.25">
      <c r="A29" s="4"/>
      <c r="B29" s="1972" t="s">
        <v>2136</v>
      </c>
      <c r="C29" s="1973"/>
      <c r="D29" s="1973"/>
      <c r="E29" s="1973"/>
      <c r="F29" s="1974"/>
      <c r="G29" s="4"/>
      <c r="H29" s="4"/>
      <c r="I29" s="4"/>
      <c r="J29" s="4"/>
      <c r="K29" s="4"/>
    </row>
    <row r="30" spans="1:11" ht="15" customHeight="1" x14ac:dyDescent="0.25">
      <c r="A30" s="4"/>
      <c r="B30" s="1972" t="s">
        <v>2352</v>
      </c>
      <c r="C30" s="1973"/>
      <c r="D30" s="1973"/>
      <c r="E30" s="1973"/>
      <c r="F30" s="1974"/>
      <c r="G30" s="4"/>
      <c r="H30" s="4"/>
      <c r="I30" s="4"/>
      <c r="J30" s="4"/>
      <c r="K30" s="4"/>
    </row>
    <row r="31" spans="1:11" ht="15" customHeight="1" x14ac:dyDescent="0.25">
      <c r="A31" s="4"/>
      <c r="B31" s="1972" t="s">
        <v>2137</v>
      </c>
      <c r="C31" s="1973"/>
      <c r="D31" s="1973"/>
      <c r="E31" s="1973"/>
      <c r="F31" s="1974"/>
      <c r="G31" s="4"/>
      <c r="H31" s="4"/>
      <c r="I31" s="4"/>
      <c r="J31" s="4"/>
      <c r="K31" s="4"/>
    </row>
    <row r="32" spans="1:11" s="1317" customFormat="1" ht="15" customHeight="1" x14ac:dyDescent="0.25">
      <c r="A32" s="1316"/>
      <c r="B32" s="1972" t="s">
        <v>2813</v>
      </c>
      <c r="C32" s="1973"/>
      <c r="D32" s="1973"/>
      <c r="E32" s="1973"/>
      <c r="F32" s="1974"/>
      <c r="G32" s="1316"/>
      <c r="H32" s="1316"/>
      <c r="I32" s="1316"/>
      <c r="J32" s="1316"/>
      <c r="K32" s="1316"/>
    </row>
    <row r="33" spans="1:13" s="1317" customFormat="1" ht="15" customHeight="1" x14ac:dyDescent="0.25">
      <c r="A33" s="1316"/>
      <c r="B33" s="1972" t="s">
        <v>2814</v>
      </c>
      <c r="C33" s="1973"/>
      <c r="D33" s="1973"/>
      <c r="E33" s="1973"/>
      <c r="F33" s="1974"/>
      <c r="G33" s="1316"/>
      <c r="H33" s="1316"/>
      <c r="I33" s="1316"/>
      <c r="J33" s="1316"/>
      <c r="K33" s="1316"/>
    </row>
    <row r="34" spans="1:13" ht="15" x14ac:dyDescent="0.25">
      <c r="A34" s="4"/>
      <c r="B34" s="1972" t="s">
        <v>2138</v>
      </c>
      <c r="C34" s="1973"/>
      <c r="D34" s="1973"/>
      <c r="E34" s="1973"/>
      <c r="F34" s="1974"/>
      <c r="G34" s="4"/>
      <c r="H34" s="4"/>
      <c r="I34" s="4"/>
      <c r="J34" s="4"/>
      <c r="K34" s="4"/>
    </row>
    <row r="35" spans="1:13" ht="15" x14ac:dyDescent="0.25">
      <c r="A35" s="4"/>
      <c r="B35" s="1972" t="s">
        <v>2139</v>
      </c>
      <c r="C35" s="1973"/>
      <c r="D35" s="1973"/>
      <c r="E35" s="1973"/>
      <c r="F35" s="1974"/>
      <c r="G35" s="4"/>
      <c r="H35" s="4"/>
      <c r="I35" s="4"/>
      <c r="J35" s="4"/>
      <c r="K35" s="4"/>
    </row>
    <row r="36" spans="1:13" ht="15" x14ac:dyDescent="0.25">
      <c r="A36" s="4"/>
      <c r="B36" s="1975" t="s">
        <v>2140</v>
      </c>
      <c r="C36" s="1976"/>
      <c r="D36" s="1976"/>
      <c r="E36" s="1976"/>
      <c r="F36" s="1977"/>
      <c r="G36" s="4"/>
      <c r="H36" s="4"/>
      <c r="I36" s="4"/>
      <c r="J36" s="4"/>
      <c r="K36" s="4"/>
    </row>
    <row r="37" spans="1:13" ht="18" customHeight="1" x14ac:dyDescent="0.25">
      <c r="A37" s="4"/>
      <c r="B37" s="4"/>
      <c r="C37" s="4"/>
      <c r="D37" s="4"/>
      <c r="E37" s="4"/>
      <c r="F37" s="4"/>
      <c r="G37" s="4"/>
      <c r="H37" s="4"/>
      <c r="I37" s="4"/>
      <c r="J37" s="4"/>
      <c r="K37" s="4"/>
    </row>
    <row r="38" spans="1:13" ht="18" customHeight="1" x14ac:dyDescent="0.25">
      <c r="A38" s="1947" t="s">
        <v>9</v>
      </c>
      <c r="B38" s="1947"/>
      <c r="C38" s="1947"/>
      <c r="D38" s="1947"/>
      <c r="E38" s="1947"/>
      <c r="F38" s="1947"/>
      <c r="G38" s="1947"/>
      <c r="H38" s="1947"/>
      <c r="I38" s="1947"/>
      <c r="J38" s="1947"/>
      <c r="K38" s="1947"/>
    </row>
    <row r="39" spans="1:13" ht="15" x14ac:dyDescent="0.25">
      <c r="A39" s="4"/>
      <c r="B39" s="4"/>
      <c r="C39" s="4"/>
      <c r="D39" s="4"/>
      <c r="E39" s="4"/>
      <c r="F39" s="4"/>
      <c r="G39" s="4"/>
      <c r="H39" s="4"/>
      <c r="I39" s="4"/>
      <c r="J39" s="4"/>
      <c r="K39" s="4"/>
    </row>
    <row r="40" spans="1:13" ht="15" customHeight="1" x14ac:dyDescent="0.25">
      <c r="A40" s="4"/>
      <c r="B40" s="700" t="s">
        <v>1023</v>
      </c>
      <c r="C40" s="4"/>
      <c r="D40" s="4"/>
      <c r="E40" s="4"/>
      <c r="F40" s="4"/>
      <c r="G40" s="4"/>
      <c r="H40" s="4"/>
      <c r="I40" s="4"/>
      <c r="J40" s="4"/>
      <c r="K40" s="4"/>
    </row>
    <row r="41" spans="1:13" ht="15" customHeight="1" x14ac:dyDescent="0.25">
      <c r="A41" s="4"/>
      <c r="B41" s="700" t="s">
        <v>1083</v>
      </c>
      <c r="C41" s="4"/>
      <c r="D41" s="4"/>
      <c r="E41" s="4"/>
      <c r="F41" s="4"/>
      <c r="G41" s="4"/>
      <c r="H41" s="4"/>
      <c r="I41" s="4"/>
      <c r="J41" s="4"/>
      <c r="K41" s="4"/>
      <c r="M41" t="s">
        <v>62</v>
      </c>
    </row>
    <row r="42" spans="1:13" ht="15" customHeight="1" x14ac:dyDescent="0.25">
      <c r="A42" s="4"/>
      <c r="B42" s="700" t="s">
        <v>2822</v>
      </c>
      <c r="C42" s="4"/>
      <c r="D42" s="4"/>
      <c r="E42" s="4"/>
      <c r="F42" s="4"/>
      <c r="G42" s="4"/>
      <c r="H42" s="4"/>
      <c r="I42" s="4"/>
      <c r="J42" s="4"/>
      <c r="K42" s="4"/>
      <c r="M42" t="s">
        <v>2351</v>
      </c>
    </row>
    <row r="43" spans="1:13" ht="16.5" customHeight="1" x14ac:dyDescent="0.25">
      <c r="A43" s="4"/>
      <c r="B43" s="700"/>
      <c r="C43" s="4"/>
      <c r="D43" s="4"/>
      <c r="E43" s="4"/>
      <c r="F43" s="4"/>
      <c r="G43" s="4"/>
      <c r="H43" s="4"/>
      <c r="I43" s="4"/>
      <c r="J43" s="4"/>
      <c r="K43" s="4"/>
      <c r="M43" t="s">
        <v>2334</v>
      </c>
    </row>
    <row r="44" spans="1:13" ht="15" customHeight="1" x14ac:dyDescent="0.25">
      <c r="A44" s="254"/>
      <c r="B44" s="1958" t="s">
        <v>1024</v>
      </c>
      <c r="C44" s="1958"/>
      <c r="D44" s="1958"/>
      <c r="E44" s="4"/>
      <c r="F44" s="4"/>
      <c r="G44" s="4"/>
      <c r="H44" s="4"/>
      <c r="I44" s="4"/>
      <c r="J44" s="4"/>
      <c r="K44" s="4"/>
      <c r="M44" t="s">
        <v>2335</v>
      </c>
    </row>
    <row r="45" spans="1:13" ht="20.25" customHeight="1" x14ac:dyDescent="0.25">
      <c r="A45" s="4"/>
      <c r="B45" s="1956" t="s">
        <v>96</v>
      </c>
      <c r="C45" s="1959"/>
      <c r="D45" s="1956" t="s">
        <v>1025</v>
      </c>
      <c r="E45" s="1957"/>
      <c r="F45" s="4"/>
      <c r="G45" s="4"/>
      <c r="H45" s="4"/>
      <c r="I45" s="4"/>
      <c r="J45" s="4"/>
      <c r="K45" s="4"/>
      <c r="M45" t="s">
        <v>2336</v>
      </c>
    </row>
    <row r="46" spans="1:13" ht="18" customHeight="1" x14ac:dyDescent="0.25">
      <c r="A46" s="4"/>
      <c r="B46" s="1927" t="s">
        <v>412</v>
      </c>
      <c r="C46" s="1927"/>
      <c r="D46" s="1928">
        <v>1</v>
      </c>
      <c r="E46" s="1929"/>
      <c r="F46" s="4"/>
      <c r="G46" s="4"/>
      <c r="H46" s="4"/>
      <c r="I46" s="4"/>
      <c r="J46" s="4"/>
      <c r="K46" s="4"/>
      <c r="M46" t="s">
        <v>2337</v>
      </c>
    </row>
    <row r="47" spans="1:13" ht="18" customHeight="1" x14ac:dyDescent="0.25">
      <c r="A47" s="4"/>
      <c r="B47" s="1927" t="s">
        <v>1092</v>
      </c>
      <c r="C47" s="1927"/>
      <c r="D47" s="1928" t="s">
        <v>414</v>
      </c>
      <c r="E47" s="1929"/>
      <c r="F47" s="4"/>
      <c r="G47" s="4"/>
      <c r="H47" s="4"/>
      <c r="I47" s="4"/>
      <c r="J47" s="4"/>
      <c r="K47" s="4"/>
      <c r="M47" t="s">
        <v>417</v>
      </c>
    </row>
    <row r="48" spans="1:13" ht="27" customHeight="1" x14ac:dyDescent="0.25">
      <c r="A48" s="4"/>
      <c r="B48" s="1927" t="s">
        <v>1091</v>
      </c>
      <c r="C48" s="1927"/>
      <c r="D48" s="1928" t="s">
        <v>2143</v>
      </c>
      <c r="E48" s="1929"/>
      <c r="F48" s="4"/>
      <c r="G48" s="4"/>
      <c r="H48" s="4"/>
      <c r="I48" s="4"/>
      <c r="J48" s="4"/>
      <c r="K48" s="4"/>
      <c r="M48" t="s">
        <v>2332</v>
      </c>
    </row>
    <row r="49" spans="1:16" ht="18" customHeight="1" x14ac:dyDescent="0.25">
      <c r="A49" s="4"/>
      <c r="B49" s="1927" t="s">
        <v>1093</v>
      </c>
      <c r="C49" s="1927"/>
      <c r="D49" s="1928" t="s">
        <v>1094</v>
      </c>
      <c r="E49" s="1929"/>
      <c r="F49" s="4"/>
      <c r="G49" s="4"/>
      <c r="H49" s="4"/>
      <c r="I49" s="4"/>
      <c r="J49" s="4"/>
      <c r="K49" s="4"/>
      <c r="M49" s="1319" t="s">
        <v>2824</v>
      </c>
    </row>
    <row r="50" spans="1:16" ht="24" customHeight="1" x14ac:dyDescent="0.25">
      <c r="A50" s="4"/>
      <c r="B50" s="1927" t="s">
        <v>2141</v>
      </c>
      <c r="C50" s="1927"/>
      <c r="D50" s="1928" t="s">
        <v>2142</v>
      </c>
      <c r="E50" s="1929"/>
      <c r="F50" s="4"/>
      <c r="G50" s="4"/>
      <c r="H50" s="4"/>
      <c r="I50" s="4"/>
      <c r="J50" s="4"/>
      <c r="K50" s="4"/>
      <c r="M50" s="1318" t="s">
        <v>2823</v>
      </c>
    </row>
    <row r="51" spans="1:16" ht="18" customHeight="1" x14ac:dyDescent="0.25">
      <c r="A51" s="4"/>
      <c r="B51" s="1927" t="s">
        <v>417</v>
      </c>
      <c r="C51" s="1927"/>
      <c r="D51" s="1928">
        <v>0.2</v>
      </c>
      <c r="E51" s="1929"/>
      <c r="F51" s="4"/>
      <c r="G51" s="4"/>
      <c r="H51" s="4"/>
      <c r="I51" s="4"/>
      <c r="J51" s="4"/>
      <c r="K51" s="4"/>
      <c r="M51" s="1318" t="s">
        <v>2826</v>
      </c>
    </row>
    <row r="52" spans="1:16" ht="54" customHeight="1" x14ac:dyDescent="0.25">
      <c r="A52" s="4"/>
      <c r="B52" s="1927" t="s">
        <v>2811</v>
      </c>
      <c r="C52" s="1927"/>
      <c r="D52" s="1928" t="s">
        <v>2809</v>
      </c>
      <c r="E52" s="1929"/>
      <c r="F52" s="4"/>
      <c r="G52" s="4"/>
      <c r="H52" s="4"/>
      <c r="I52" s="4"/>
      <c r="J52" s="4"/>
      <c r="K52" s="4"/>
      <c r="M52" s="1318" t="s">
        <v>2825</v>
      </c>
    </row>
    <row r="53" spans="1:16" ht="18" customHeight="1" x14ac:dyDescent="0.25">
      <c r="A53" s="4"/>
      <c r="B53" s="1927" t="s">
        <v>2812</v>
      </c>
      <c r="C53" s="1927"/>
      <c r="D53" s="1928">
        <v>0.2</v>
      </c>
      <c r="E53" s="1929"/>
      <c r="F53" s="4"/>
      <c r="G53" s="4"/>
      <c r="H53" s="4"/>
      <c r="I53" s="4"/>
      <c r="J53" s="4"/>
      <c r="K53" s="4"/>
      <c r="M53" t="s">
        <v>2827</v>
      </c>
    </row>
    <row r="54" spans="1:16" ht="18" customHeight="1" x14ac:dyDescent="0.25">
      <c r="A54" s="4"/>
      <c r="B54" s="1927" t="s">
        <v>2810</v>
      </c>
      <c r="C54" s="1927"/>
      <c r="D54" s="1928">
        <v>0.2</v>
      </c>
      <c r="E54" s="1929"/>
      <c r="F54" s="4"/>
      <c r="G54" s="4"/>
      <c r="H54" s="4"/>
      <c r="I54" s="4"/>
      <c r="J54" s="4"/>
      <c r="K54" s="4"/>
      <c r="M54" t="s">
        <v>2340</v>
      </c>
    </row>
    <row r="55" spans="1:16" ht="27" customHeight="1" x14ac:dyDescent="0.25">
      <c r="A55" s="4"/>
      <c r="B55" s="1927" t="s">
        <v>2144</v>
      </c>
      <c r="C55" s="1927"/>
      <c r="D55" s="1928">
        <v>0.2</v>
      </c>
      <c r="E55" s="1929"/>
      <c r="F55" s="4"/>
      <c r="G55" s="4"/>
      <c r="H55" s="4"/>
      <c r="I55" s="4"/>
      <c r="J55" s="4"/>
      <c r="K55" s="4"/>
      <c r="M55" t="s">
        <v>2341</v>
      </c>
    </row>
    <row r="56" spans="1:16" ht="18" customHeight="1" x14ac:dyDescent="0.25">
      <c r="A56" s="4"/>
      <c r="B56" s="1927" t="s">
        <v>2145</v>
      </c>
      <c r="C56" s="1927"/>
      <c r="D56" s="1928">
        <v>0.1</v>
      </c>
      <c r="E56" s="1929"/>
      <c r="F56" s="4"/>
      <c r="G56" s="4"/>
      <c r="H56" s="4"/>
      <c r="I56" s="4"/>
      <c r="J56" s="4"/>
      <c r="K56" s="4"/>
      <c r="M56" t="s">
        <v>2342</v>
      </c>
    </row>
    <row r="57" spans="1:16" ht="19.5" customHeight="1" x14ac:dyDescent="0.25">
      <c r="A57" s="4"/>
      <c r="B57" s="4"/>
      <c r="C57" s="4"/>
      <c r="D57" s="4"/>
      <c r="E57" s="4"/>
      <c r="F57" s="4"/>
      <c r="G57" s="4"/>
      <c r="H57" s="4"/>
      <c r="I57" s="4"/>
      <c r="J57" s="4"/>
      <c r="K57" s="4"/>
    </row>
    <row r="58" spans="1:16" ht="15" x14ac:dyDescent="0.25">
      <c r="A58" s="4"/>
      <c r="B58" s="692" t="s">
        <v>1251</v>
      </c>
      <c r="C58" s="4"/>
      <c r="D58" s="4"/>
      <c r="E58" s="4"/>
      <c r="F58" s="4"/>
      <c r="G58" s="4"/>
      <c r="H58" s="4"/>
      <c r="I58" s="4"/>
      <c r="J58" s="4"/>
      <c r="K58" s="4"/>
    </row>
    <row r="59" spans="1:16" ht="14.25" customHeight="1" x14ac:dyDescent="0.25">
      <c r="A59" s="4"/>
      <c r="B59" s="4"/>
      <c r="C59" s="4"/>
      <c r="D59" s="4"/>
      <c r="E59" s="4"/>
      <c r="F59" s="4"/>
      <c r="G59" s="4"/>
      <c r="H59" s="4"/>
      <c r="I59" s="4"/>
      <c r="J59" s="4"/>
      <c r="K59" s="4"/>
    </row>
    <row r="60" spans="1:16" ht="28.5" customHeight="1" x14ac:dyDescent="0.25">
      <c r="A60" s="4"/>
      <c r="B60" s="276" t="s">
        <v>419</v>
      </c>
      <c r="C60" s="277" t="s">
        <v>1075</v>
      </c>
      <c r="D60" s="1931" t="s">
        <v>1078</v>
      </c>
      <c r="E60" s="1931"/>
      <c r="F60" s="1141" t="s">
        <v>582</v>
      </c>
      <c r="G60" s="277" t="s">
        <v>1079</v>
      </c>
      <c r="H60" s="1931" t="s">
        <v>15</v>
      </c>
      <c r="I60" s="1931"/>
      <c r="J60" s="1932"/>
      <c r="K60" s="4"/>
      <c r="O60" s="1966" t="s">
        <v>2820</v>
      </c>
      <c r="P60" s="1966"/>
    </row>
    <row r="61" spans="1:16" ht="15" customHeight="1" x14ac:dyDescent="0.25">
      <c r="A61" s="4"/>
      <c r="B61" s="1936"/>
      <c r="C61" s="1933"/>
      <c r="D61" s="1306" t="s">
        <v>62</v>
      </c>
      <c r="E61" s="1021"/>
      <c r="F61" s="693">
        <f>IF(AND(P61=1,O61=1),MIN(1,L61),0)</f>
        <v>0</v>
      </c>
      <c r="G61" s="1939">
        <f>MIN(C61,C61*(F61+F62+F63))</f>
        <v>0</v>
      </c>
      <c r="H61" s="1648"/>
      <c r="I61" s="1648"/>
      <c r="J61" s="1648"/>
      <c r="K61" s="4"/>
      <c r="L61" s="4">
        <f>IF(N61=1,E61,1)*IF(OR(D61=$M$42,D61=$M$43,D61=$M$44,D61=$M$45,D61=$M$49),1,IF(D61=$M$50,0.8,IF(D61=$M$51,0.6,IF(D61=$M$52,0.4,IF(D61=$M$46,0.5,IF(OR(D61=$M$47,D61=$M$48,D61=$M$54,D61=$M$53),0.2,IF(D61=$M$55,0.1,0)))))))</f>
        <v>0</v>
      </c>
      <c r="M61" s="4"/>
      <c r="N61">
        <f t="shared" ref="N61:N105" si="0">IF(OR(D61="recycled content",D61="reused components",D61="Rapidly renewable content",D61="Timber from a sustainable source"),1,0)</f>
        <v>0</v>
      </c>
      <c r="O61">
        <f>IFERROR(IF(VLOOKUP(D61,$M$42:$M$56,1,FALSE)=D61,1,0),0)</f>
        <v>0</v>
      </c>
      <c r="P61" s="1967">
        <f>MIN(1,SUM(O61:O63))</f>
        <v>0</v>
      </c>
    </row>
    <row r="62" spans="1:16" ht="15" customHeight="1" x14ac:dyDescent="0.25">
      <c r="A62" s="4"/>
      <c r="B62" s="1937"/>
      <c r="C62" s="1934"/>
      <c r="D62" s="1307" t="s">
        <v>62</v>
      </c>
      <c r="E62" s="1021"/>
      <c r="F62" s="693">
        <f>IF(AND(P61=1,O62=1),MIN(1,L62),0)</f>
        <v>0</v>
      </c>
      <c r="G62" s="1940"/>
      <c r="H62" s="1648"/>
      <c r="I62" s="1648"/>
      <c r="J62" s="1648"/>
      <c r="K62" s="4"/>
      <c r="L62" s="4">
        <f t="shared" ref="L62:L105" si="1">IF(N62=1,E62,1)*IF(OR(D62=$M$42,D62=$M$43,D62=$M$44,D62=$M$45,D62=$M$49),1,IF(D62=$M$50,0.8,IF(D62=$M$51,0.6,IF(D62=$M$52,0.4,IF(D62=$M$46,0.5,IF(OR(D62=$M$47,D62=$M$48,D62=$M$54,D62=$M$53),0.2,IF(D62=$M$55,0.1,0)))))))</f>
        <v>0</v>
      </c>
      <c r="M62" s="4"/>
      <c r="N62">
        <f t="shared" si="0"/>
        <v>0</v>
      </c>
      <c r="O62">
        <f t="shared" ref="O62:O105" si="2">IFERROR(IF(VLOOKUP(D62,$M$42:$M$56,1,FALSE)=D62,1,0),0)</f>
        <v>0</v>
      </c>
      <c r="P62" s="1967"/>
    </row>
    <row r="63" spans="1:16" ht="15.75" thickBot="1" x14ac:dyDescent="0.3">
      <c r="A63" s="4"/>
      <c r="B63" s="1938"/>
      <c r="C63" s="1935"/>
      <c r="D63" s="1311" t="s">
        <v>62</v>
      </c>
      <c r="E63" s="1246"/>
      <c r="F63" s="1320">
        <f>IF(AND(P61=1,O63=1),MIN(1,L63),0)</f>
        <v>0</v>
      </c>
      <c r="G63" s="1941"/>
      <c r="H63" s="1930"/>
      <c r="I63" s="1930"/>
      <c r="J63" s="1930"/>
      <c r="K63" s="4"/>
      <c r="L63" s="4">
        <f t="shared" si="1"/>
        <v>0</v>
      </c>
      <c r="M63" s="4"/>
      <c r="N63">
        <f t="shared" si="0"/>
        <v>0</v>
      </c>
      <c r="O63">
        <f t="shared" si="2"/>
        <v>0</v>
      </c>
      <c r="P63" s="1967"/>
    </row>
    <row r="64" spans="1:16" ht="15" customHeight="1" x14ac:dyDescent="0.25">
      <c r="A64" s="4"/>
      <c r="B64" s="1936"/>
      <c r="C64" s="1933"/>
      <c r="D64" s="1306" t="s">
        <v>62</v>
      </c>
      <c r="E64" s="1021"/>
      <c r="F64" s="1321">
        <f>IF(AND(P64=1,O64=1),MIN(1,L64),0)</f>
        <v>0</v>
      </c>
      <c r="G64" s="1939">
        <f>IF(P64=1,MIN(C64*(F64*O64+F65*O65+F66*O66)),MIN(C64,C64*(F64+F65+F66)))</f>
        <v>0</v>
      </c>
      <c r="H64" s="1648"/>
      <c r="I64" s="1648"/>
      <c r="J64" s="1648"/>
      <c r="K64" s="4"/>
      <c r="L64" s="4">
        <f t="shared" si="1"/>
        <v>0</v>
      </c>
      <c r="M64" s="4"/>
      <c r="N64">
        <f t="shared" si="0"/>
        <v>0</v>
      </c>
      <c r="O64">
        <f t="shared" si="2"/>
        <v>0</v>
      </c>
      <c r="P64" s="1967">
        <f>MIN(1,SUM(O64:O66))</f>
        <v>0</v>
      </c>
    </row>
    <row r="65" spans="1:16" ht="15" customHeight="1" x14ac:dyDescent="0.25">
      <c r="A65" s="4"/>
      <c r="B65" s="1937"/>
      <c r="C65" s="1934"/>
      <c r="D65" s="1307" t="s">
        <v>62</v>
      </c>
      <c r="E65" s="1021"/>
      <c r="F65" s="693">
        <f>IF(AND(P64=1,O65=1),MIN(1,L65),0)</f>
        <v>0</v>
      </c>
      <c r="G65" s="1940"/>
      <c r="H65" s="1648"/>
      <c r="I65" s="1648"/>
      <c r="J65" s="1648"/>
      <c r="K65" s="4"/>
      <c r="L65" s="4">
        <f t="shared" si="1"/>
        <v>0</v>
      </c>
      <c r="M65" s="4"/>
      <c r="N65">
        <f t="shared" si="0"/>
        <v>0</v>
      </c>
      <c r="O65">
        <f t="shared" si="2"/>
        <v>0</v>
      </c>
      <c r="P65" s="1967"/>
    </row>
    <row r="66" spans="1:16" ht="15.75" thickBot="1" x14ac:dyDescent="0.3">
      <c r="A66" s="4"/>
      <c r="B66" s="1938"/>
      <c r="C66" s="1935"/>
      <c r="D66" s="1311" t="s">
        <v>62</v>
      </c>
      <c r="E66" s="1246"/>
      <c r="F66" s="1322">
        <f>IF(AND(P64=1,O66=1),MIN(1,L66),0)</f>
        <v>0</v>
      </c>
      <c r="G66" s="1941"/>
      <c r="H66" s="1930"/>
      <c r="I66" s="1930"/>
      <c r="J66" s="1930"/>
      <c r="K66" s="4"/>
      <c r="L66" s="4">
        <f t="shared" si="1"/>
        <v>0</v>
      </c>
      <c r="M66" s="4"/>
      <c r="N66">
        <f t="shared" si="0"/>
        <v>0</v>
      </c>
      <c r="O66">
        <f t="shared" si="2"/>
        <v>0</v>
      </c>
      <c r="P66" s="1967"/>
    </row>
    <row r="67" spans="1:16" ht="15" x14ac:dyDescent="0.25">
      <c r="A67" s="4"/>
      <c r="B67" s="1936"/>
      <c r="C67" s="1933"/>
      <c r="D67" s="1306" t="s">
        <v>62</v>
      </c>
      <c r="E67" s="1021"/>
      <c r="F67" s="693">
        <f>IF(AND(P67=1,O67=1),MIN(1,L67),0)</f>
        <v>0</v>
      </c>
      <c r="G67" s="1939">
        <f>IF(P67=1,MIN(C67*(F67*O67+F68*O68+F69*O69)),MIN(C67,C67*(F67+F68+F69)))</f>
        <v>0</v>
      </c>
      <c r="H67" s="1648"/>
      <c r="I67" s="1648"/>
      <c r="J67" s="1648"/>
      <c r="K67" s="4"/>
      <c r="L67" s="4">
        <f t="shared" si="1"/>
        <v>0</v>
      </c>
      <c r="M67" s="4"/>
      <c r="N67">
        <f t="shared" si="0"/>
        <v>0</v>
      </c>
      <c r="O67">
        <f t="shared" si="2"/>
        <v>0</v>
      </c>
      <c r="P67" s="1967">
        <f>MIN(1,SUM(O67:O69))</f>
        <v>0</v>
      </c>
    </row>
    <row r="68" spans="1:16" ht="15" x14ac:dyDescent="0.25">
      <c r="A68" s="4"/>
      <c r="B68" s="1937"/>
      <c r="C68" s="1934"/>
      <c r="D68" s="1307" t="s">
        <v>62</v>
      </c>
      <c r="E68" s="1021"/>
      <c r="F68" s="693">
        <f>IF(AND(P67=1,O68=1),MIN(1,L68),0)</f>
        <v>0</v>
      </c>
      <c r="G68" s="1940"/>
      <c r="H68" s="1648"/>
      <c r="I68" s="1648"/>
      <c r="J68" s="1648"/>
      <c r="K68" s="4"/>
      <c r="L68" s="4">
        <f t="shared" si="1"/>
        <v>0</v>
      </c>
      <c r="M68" s="4"/>
      <c r="N68">
        <f t="shared" si="0"/>
        <v>0</v>
      </c>
      <c r="O68">
        <f t="shared" si="2"/>
        <v>0</v>
      </c>
      <c r="P68" s="1967"/>
    </row>
    <row r="69" spans="1:16" ht="15.75" thickBot="1" x14ac:dyDescent="0.3">
      <c r="A69" s="4"/>
      <c r="B69" s="1938"/>
      <c r="C69" s="1935"/>
      <c r="D69" s="1311" t="s">
        <v>62</v>
      </c>
      <c r="E69" s="1246"/>
      <c r="F69" s="1322">
        <f>IF(AND(P67=1,O69=1),MIN(1,L69),0)</f>
        <v>0</v>
      </c>
      <c r="G69" s="1941"/>
      <c r="H69" s="1930"/>
      <c r="I69" s="1930"/>
      <c r="J69" s="1930"/>
      <c r="K69" s="4"/>
      <c r="L69" s="4">
        <f t="shared" si="1"/>
        <v>0</v>
      </c>
      <c r="M69" s="4"/>
      <c r="N69">
        <f t="shared" si="0"/>
        <v>0</v>
      </c>
      <c r="O69">
        <f t="shared" si="2"/>
        <v>0</v>
      </c>
      <c r="P69" s="1967"/>
    </row>
    <row r="70" spans="1:16" ht="15" customHeight="1" x14ac:dyDescent="0.25">
      <c r="A70" s="4"/>
      <c r="B70" s="1936"/>
      <c r="C70" s="1933"/>
      <c r="D70" s="1306" t="s">
        <v>62</v>
      </c>
      <c r="E70" s="1021"/>
      <c r="F70" s="693">
        <f>IF(AND(P70=1,O70=1),MIN(1,L70),0)</f>
        <v>0</v>
      </c>
      <c r="G70" s="1939">
        <f>IF(P70=1,MIN(C70*(F70*O70+F71*O71+F72*O72)),MIN(C70,C70*(F70+F71+F72)))</f>
        <v>0</v>
      </c>
      <c r="H70" s="1648"/>
      <c r="I70" s="1648"/>
      <c r="J70" s="1648"/>
      <c r="K70" s="4"/>
      <c r="L70" s="4">
        <f t="shared" si="1"/>
        <v>0</v>
      </c>
      <c r="M70" s="4"/>
      <c r="N70">
        <f t="shared" si="0"/>
        <v>0</v>
      </c>
      <c r="O70">
        <f t="shared" si="2"/>
        <v>0</v>
      </c>
      <c r="P70" s="1967">
        <f>MIN(1,SUM(O70:O72))</f>
        <v>0</v>
      </c>
    </row>
    <row r="71" spans="1:16" ht="15" customHeight="1" x14ac:dyDescent="0.25">
      <c r="A71" s="4"/>
      <c r="B71" s="1937"/>
      <c r="C71" s="1934"/>
      <c r="D71" s="1307" t="s">
        <v>62</v>
      </c>
      <c r="E71" s="1021"/>
      <c r="F71" s="693">
        <f>IF(AND(P70=1,O71=1),MIN(1,L71),0)</f>
        <v>0</v>
      </c>
      <c r="G71" s="1940"/>
      <c r="H71" s="1648"/>
      <c r="I71" s="1648"/>
      <c r="J71" s="1648"/>
      <c r="K71" s="4"/>
      <c r="L71" s="4">
        <f t="shared" si="1"/>
        <v>0</v>
      </c>
      <c r="M71" s="4"/>
      <c r="N71">
        <f t="shared" si="0"/>
        <v>0</v>
      </c>
      <c r="O71">
        <f t="shared" si="2"/>
        <v>0</v>
      </c>
      <c r="P71" s="1967"/>
    </row>
    <row r="72" spans="1:16" ht="15.75" thickBot="1" x14ac:dyDescent="0.3">
      <c r="A72" s="4"/>
      <c r="B72" s="1938"/>
      <c r="C72" s="1935"/>
      <c r="D72" s="1311" t="s">
        <v>62</v>
      </c>
      <c r="E72" s="1246"/>
      <c r="F72" s="1320">
        <f>IF(AND(P70=1,O72=1),MIN(1,L72),0)</f>
        <v>0</v>
      </c>
      <c r="G72" s="1941"/>
      <c r="H72" s="1930"/>
      <c r="I72" s="1930"/>
      <c r="J72" s="1930"/>
      <c r="K72" s="4"/>
      <c r="L72" s="4">
        <f t="shared" si="1"/>
        <v>0</v>
      </c>
      <c r="M72" s="4"/>
      <c r="N72">
        <f t="shared" si="0"/>
        <v>0</v>
      </c>
      <c r="O72">
        <f t="shared" si="2"/>
        <v>0</v>
      </c>
      <c r="P72" s="1967"/>
    </row>
    <row r="73" spans="1:16" ht="15" customHeight="1" x14ac:dyDescent="0.25">
      <c r="A73" s="4"/>
      <c r="B73" s="1936"/>
      <c r="C73" s="1933"/>
      <c r="D73" s="1306" t="s">
        <v>62</v>
      </c>
      <c r="E73" s="1021"/>
      <c r="F73" s="1321">
        <f>IF(AND(P73=1,O73=1),MIN(1,L73),0)</f>
        <v>0</v>
      </c>
      <c r="G73" s="1939">
        <f>IF(P73=1,MIN(C73*(F73*O73+F74*O74+F75*O75)),MIN(C73,C73*(F73+F74+F75)))</f>
        <v>0</v>
      </c>
      <c r="H73" s="1648"/>
      <c r="I73" s="1648"/>
      <c r="J73" s="1648"/>
      <c r="K73" s="4"/>
      <c r="L73" s="4">
        <f t="shared" si="1"/>
        <v>0</v>
      </c>
      <c r="M73" s="4"/>
      <c r="N73">
        <f t="shared" si="0"/>
        <v>0</v>
      </c>
      <c r="O73">
        <f t="shared" si="2"/>
        <v>0</v>
      </c>
      <c r="P73" s="1967">
        <f>MIN(1,SUM(O73:O75))</f>
        <v>0</v>
      </c>
    </row>
    <row r="74" spans="1:16" ht="15" customHeight="1" x14ac:dyDescent="0.25">
      <c r="A74" s="4"/>
      <c r="B74" s="1937"/>
      <c r="C74" s="1934"/>
      <c r="D74" s="1307" t="s">
        <v>62</v>
      </c>
      <c r="E74" s="1021"/>
      <c r="F74" s="693">
        <f>IF(AND(P73=1,O74=1),MIN(1,L74),0)</f>
        <v>0</v>
      </c>
      <c r="G74" s="1940"/>
      <c r="H74" s="1648"/>
      <c r="I74" s="1648"/>
      <c r="J74" s="1648"/>
      <c r="K74" s="4"/>
      <c r="L74" s="4">
        <f t="shared" si="1"/>
        <v>0</v>
      </c>
      <c r="M74" s="4"/>
      <c r="N74">
        <f t="shared" si="0"/>
        <v>0</v>
      </c>
      <c r="O74">
        <f t="shared" si="2"/>
        <v>0</v>
      </c>
      <c r="P74" s="1967"/>
    </row>
    <row r="75" spans="1:16" ht="15.75" thickBot="1" x14ac:dyDescent="0.3">
      <c r="A75" s="4"/>
      <c r="B75" s="1938"/>
      <c r="C75" s="1935"/>
      <c r="D75" s="1311" t="s">
        <v>62</v>
      </c>
      <c r="E75" s="1246"/>
      <c r="F75" s="1322">
        <f>IF(AND(P73=1,O75=1),MIN(1,L75),0)</f>
        <v>0</v>
      </c>
      <c r="G75" s="1941"/>
      <c r="H75" s="1930"/>
      <c r="I75" s="1930"/>
      <c r="J75" s="1930"/>
      <c r="K75" s="4"/>
      <c r="L75" s="4">
        <f t="shared" si="1"/>
        <v>0</v>
      </c>
      <c r="M75" s="4"/>
      <c r="N75">
        <f t="shared" si="0"/>
        <v>0</v>
      </c>
      <c r="O75">
        <f t="shared" si="2"/>
        <v>0</v>
      </c>
      <c r="P75" s="1967"/>
    </row>
    <row r="76" spans="1:16" ht="15" x14ac:dyDescent="0.25">
      <c r="A76" s="4"/>
      <c r="B76" s="1936"/>
      <c r="C76" s="1933"/>
      <c r="D76" s="1306" t="s">
        <v>62</v>
      </c>
      <c r="E76" s="1021"/>
      <c r="F76" s="693">
        <f>IF(AND(P76=1,O76=1),MIN(1,L76),0)</f>
        <v>0</v>
      </c>
      <c r="G76" s="1939">
        <f>IF(P76=1,MIN(C76*(F76*O76+F77*O77+F78*O78)),MIN(C76,C76*(F76+F77+F78)))</f>
        <v>0</v>
      </c>
      <c r="H76" s="1648"/>
      <c r="I76" s="1648"/>
      <c r="J76" s="1648"/>
      <c r="K76" s="4"/>
      <c r="L76" s="4">
        <f t="shared" si="1"/>
        <v>0</v>
      </c>
      <c r="M76" s="4"/>
      <c r="N76">
        <f t="shared" si="0"/>
        <v>0</v>
      </c>
      <c r="O76">
        <f t="shared" si="2"/>
        <v>0</v>
      </c>
      <c r="P76" s="1967">
        <f>MIN(1,SUM(O76:O78))</f>
        <v>0</v>
      </c>
    </row>
    <row r="77" spans="1:16" ht="15" x14ac:dyDescent="0.25">
      <c r="A77" s="4"/>
      <c r="B77" s="1937"/>
      <c r="C77" s="1934"/>
      <c r="D77" s="1307" t="s">
        <v>62</v>
      </c>
      <c r="E77" s="1021"/>
      <c r="F77" s="693">
        <f>IF(AND(P76=1,O77=1),MIN(1,L77),0)</f>
        <v>0</v>
      </c>
      <c r="G77" s="1940"/>
      <c r="H77" s="1648"/>
      <c r="I77" s="1648"/>
      <c r="J77" s="1648"/>
      <c r="K77" s="4"/>
      <c r="L77" s="4">
        <f t="shared" si="1"/>
        <v>0</v>
      </c>
      <c r="M77" s="4"/>
      <c r="N77">
        <f t="shared" si="0"/>
        <v>0</v>
      </c>
      <c r="O77">
        <f t="shared" si="2"/>
        <v>0</v>
      </c>
      <c r="P77" s="1967"/>
    </row>
    <row r="78" spans="1:16" ht="15.75" thickBot="1" x14ac:dyDescent="0.3">
      <c r="A78" s="4"/>
      <c r="B78" s="1938"/>
      <c r="C78" s="1935"/>
      <c r="D78" s="1311" t="s">
        <v>62</v>
      </c>
      <c r="E78" s="1246"/>
      <c r="F78" s="1322">
        <f>IF(AND(P76=1,O78=1),MIN(1,L78),0)</f>
        <v>0</v>
      </c>
      <c r="G78" s="1941"/>
      <c r="H78" s="1930"/>
      <c r="I78" s="1930"/>
      <c r="J78" s="1930"/>
      <c r="K78" s="4"/>
      <c r="L78" s="4">
        <f t="shared" si="1"/>
        <v>0</v>
      </c>
      <c r="M78" s="4"/>
      <c r="N78">
        <f t="shared" si="0"/>
        <v>0</v>
      </c>
      <c r="O78">
        <f t="shared" si="2"/>
        <v>0</v>
      </c>
      <c r="P78" s="1967"/>
    </row>
    <row r="79" spans="1:16" ht="15" customHeight="1" x14ac:dyDescent="0.25">
      <c r="A79" s="4"/>
      <c r="B79" s="1936"/>
      <c r="C79" s="1933"/>
      <c r="D79" s="1306" t="s">
        <v>62</v>
      </c>
      <c r="E79" s="1021"/>
      <c r="F79" s="693">
        <f>IF(AND(P79=1,O79=1),MIN(1,L79),0)</f>
        <v>0</v>
      </c>
      <c r="G79" s="1939">
        <f>IF(P79=1,MIN(C79*(F79*O79+F80*O80+F81*O81)),MIN(C79,C79*(F79+F80+F81)))</f>
        <v>0</v>
      </c>
      <c r="H79" s="1648"/>
      <c r="I79" s="1648"/>
      <c r="J79" s="1648"/>
      <c r="K79" s="4"/>
      <c r="L79" s="4">
        <f t="shared" si="1"/>
        <v>0</v>
      </c>
      <c r="M79" s="4"/>
      <c r="N79">
        <f t="shared" si="0"/>
        <v>0</v>
      </c>
      <c r="O79">
        <f t="shared" si="2"/>
        <v>0</v>
      </c>
      <c r="P79" s="1967">
        <f>MIN(1,SUM(O79:O81))</f>
        <v>0</v>
      </c>
    </row>
    <row r="80" spans="1:16" ht="15" customHeight="1" x14ac:dyDescent="0.25">
      <c r="A80" s="4"/>
      <c r="B80" s="1937"/>
      <c r="C80" s="1934"/>
      <c r="D80" s="1307" t="s">
        <v>62</v>
      </c>
      <c r="E80" s="1021"/>
      <c r="F80" s="693">
        <f>IF(AND(P79=1,O80=1),MIN(1,L80),0)</f>
        <v>0</v>
      </c>
      <c r="G80" s="1940"/>
      <c r="H80" s="1648"/>
      <c r="I80" s="1648"/>
      <c r="J80" s="1648"/>
      <c r="K80" s="4"/>
      <c r="L80" s="4">
        <f t="shared" si="1"/>
        <v>0</v>
      </c>
      <c r="M80" s="4"/>
      <c r="N80">
        <f t="shared" si="0"/>
        <v>0</v>
      </c>
      <c r="O80">
        <f t="shared" si="2"/>
        <v>0</v>
      </c>
      <c r="P80" s="1967"/>
    </row>
    <row r="81" spans="1:16" ht="15.75" thickBot="1" x14ac:dyDescent="0.3">
      <c r="A81" s="4"/>
      <c r="B81" s="1938"/>
      <c r="C81" s="1935"/>
      <c r="D81" s="1311" t="s">
        <v>62</v>
      </c>
      <c r="E81" s="1246"/>
      <c r="F81" s="1320">
        <f>IF(AND(P79=1,O81=1),MIN(1,L81),0)</f>
        <v>0</v>
      </c>
      <c r="G81" s="1941"/>
      <c r="H81" s="1930"/>
      <c r="I81" s="1930"/>
      <c r="J81" s="1930"/>
      <c r="K81" s="4"/>
      <c r="L81" s="4">
        <f t="shared" si="1"/>
        <v>0</v>
      </c>
      <c r="M81" s="4"/>
      <c r="N81">
        <f t="shared" si="0"/>
        <v>0</v>
      </c>
      <c r="O81">
        <f t="shared" si="2"/>
        <v>0</v>
      </c>
      <c r="P81" s="1967"/>
    </row>
    <row r="82" spans="1:16" ht="15" customHeight="1" x14ac:dyDescent="0.25">
      <c r="A82" s="4"/>
      <c r="B82" s="1936"/>
      <c r="C82" s="1933"/>
      <c r="D82" s="1306" t="s">
        <v>62</v>
      </c>
      <c r="E82" s="1021"/>
      <c r="F82" s="1321">
        <f>IF(AND(P82=1,O82=1),MIN(1,L82),0)</f>
        <v>0</v>
      </c>
      <c r="G82" s="1939">
        <f>IF(P82=1,MIN(C82*(F82*O82+F83*O83+F84*O84)),MIN(C82,C82*(F82+F83+F84)))</f>
        <v>0</v>
      </c>
      <c r="H82" s="1648"/>
      <c r="I82" s="1648"/>
      <c r="J82" s="1648"/>
      <c r="K82" s="4"/>
      <c r="L82" s="4">
        <f t="shared" si="1"/>
        <v>0</v>
      </c>
      <c r="M82" s="4"/>
      <c r="N82">
        <f t="shared" si="0"/>
        <v>0</v>
      </c>
      <c r="O82">
        <f t="shared" si="2"/>
        <v>0</v>
      </c>
      <c r="P82" s="1967">
        <f>MIN(1,SUM(O82:O84))</f>
        <v>0</v>
      </c>
    </row>
    <row r="83" spans="1:16" ht="15" customHeight="1" x14ac:dyDescent="0.25">
      <c r="A83" s="4"/>
      <c r="B83" s="1937"/>
      <c r="C83" s="1934"/>
      <c r="D83" s="1307" t="s">
        <v>62</v>
      </c>
      <c r="E83" s="1021"/>
      <c r="F83" s="693">
        <f>IF(AND(P82=1,O83=1),MIN(1,L83),0)</f>
        <v>0</v>
      </c>
      <c r="G83" s="1940"/>
      <c r="H83" s="1648"/>
      <c r="I83" s="1648"/>
      <c r="J83" s="1648"/>
      <c r="K83" s="4"/>
      <c r="L83" s="4">
        <f t="shared" si="1"/>
        <v>0</v>
      </c>
      <c r="M83" s="4"/>
      <c r="N83">
        <f t="shared" si="0"/>
        <v>0</v>
      </c>
      <c r="O83">
        <f t="shared" si="2"/>
        <v>0</v>
      </c>
      <c r="P83" s="1967"/>
    </row>
    <row r="84" spans="1:16" ht="15.75" thickBot="1" x14ac:dyDescent="0.3">
      <c r="A84" s="4"/>
      <c r="B84" s="1938"/>
      <c r="C84" s="1935"/>
      <c r="D84" s="1311" t="s">
        <v>62</v>
      </c>
      <c r="E84" s="1246"/>
      <c r="F84" s="1322">
        <f>IF(AND(P82=1,O84=1),MIN(1,L84),0)</f>
        <v>0</v>
      </c>
      <c r="G84" s="1941"/>
      <c r="H84" s="1930"/>
      <c r="I84" s="1930"/>
      <c r="J84" s="1930"/>
      <c r="K84" s="4"/>
      <c r="L84" s="4">
        <f t="shared" si="1"/>
        <v>0</v>
      </c>
      <c r="M84" s="4"/>
      <c r="N84">
        <f t="shared" si="0"/>
        <v>0</v>
      </c>
      <c r="O84">
        <f t="shared" si="2"/>
        <v>0</v>
      </c>
      <c r="P84" s="1967"/>
    </row>
    <row r="85" spans="1:16" ht="15" x14ac:dyDescent="0.25">
      <c r="A85" s="4"/>
      <c r="B85" s="1936"/>
      <c r="C85" s="1933"/>
      <c r="D85" s="1306" t="s">
        <v>62</v>
      </c>
      <c r="E85" s="1021"/>
      <c r="F85" s="693">
        <f>IF(AND(P85=1,O85=1),MIN(1,L85),0)</f>
        <v>0</v>
      </c>
      <c r="G85" s="1939">
        <f>IF(P85=1,MIN(C85*(F85*O85+F86*O86+F87*O87)),MIN(C85,C85*(F85+F86+F87)))</f>
        <v>0</v>
      </c>
      <c r="H85" s="1648"/>
      <c r="I85" s="1648"/>
      <c r="J85" s="1648"/>
      <c r="K85" s="4"/>
      <c r="L85" s="4">
        <f t="shared" si="1"/>
        <v>0</v>
      </c>
      <c r="M85" s="4"/>
      <c r="N85">
        <f t="shared" si="0"/>
        <v>0</v>
      </c>
      <c r="O85">
        <f t="shared" si="2"/>
        <v>0</v>
      </c>
      <c r="P85" s="1967">
        <f>MIN(1,SUM(O85:O87))</f>
        <v>0</v>
      </c>
    </row>
    <row r="86" spans="1:16" ht="15" x14ac:dyDescent="0.25">
      <c r="A86" s="4"/>
      <c r="B86" s="1937"/>
      <c r="C86" s="1934"/>
      <c r="D86" s="1307" t="s">
        <v>62</v>
      </c>
      <c r="E86" s="1021"/>
      <c r="F86" s="693">
        <f>IF(AND(P85=1,O86=1),MIN(1,L86),0)</f>
        <v>0</v>
      </c>
      <c r="G86" s="1940"/>
      <c r="H86" s="1648"/>
      <c r="I86" s="1648"/>
      <c r="J86" s="1648"/>
      <c r="K86" s="4"/>
      <c r="L86" s="4">
        <f t="shared" si="1"/>
        <v>0</v>
      </c>
      <c r="M86" s="4"/>
      <c r="N86">
        <f t="shared" si="0"/>
        <v>0</v>
      </c>
      <c r="O86">
        <f t="shared" si="2"/>
        <v>0</v>
      </c>
      <c r="P86" s="1967"/>
    </row>
    <row r="87" spans="1:16" ht="15.75" thickBot="1" x14ac:dyDescent="0.3">
      <c r="A87" s="4"/>
      <c r="B87" s="1938"/>
      <c r="C87" s="1935"/>
      <c r="D87" s="1311" t="s">
        <v>62</v>
      </c>
      <c r="E87" s="1246"/>
      <c r="F87" s="1322">
        <f>IF(AND(P85=1,O87=1),MIN(1,L87),0)</f>
        <v>0</v>
      </c>
      <c r="G87" s="1941"/>
      <c r="H87" s="1930"/>
      <c r="I87" s="1930"/>
      <c r="J87" s="1930"/>
      <c r="K87" s="4"/>
      <c r="L87" s="4">
        <f t="shared" si="1"/>
        <v>0</v>
      </c>
      <c r="M87" s="4"/>
      <c r="N87">
        <f t="shared" si="0"/>
        <v>0</v>
      </c>
      <c r="O87">
        <f t="shared" si="2"/>
        <v>0</v>
      </c>
      <c r="P87" s="1967"/>
    </row>
    <row r="88" spans="1:16" ht="15" customHeight="1" x14ac:dyDescent="0.25">
      <c r="A88" s="4"/>
      <c r="B88" s="1936"/>
      <c r="C88" s="1933"/>
      <c r="D88" s="1306" t="s">
        <v>62</v>
      </c>
      <c r="E88" s="1021"/>
      <c r="F88" s="693">
        <f>IF(AND(P88=1,O88=1),MIN(1,L88),0)</f>
        <v>0</v>
      </c>
      <c r="G88" s="1939">
        <f>IF(P88=1,MIN(C88*(F88*O88+F89*O89+F90*O90)),MIN(C88,C88*(F88+F89+F90)))</f>
        <v>0</v>
      </c>
      <c r="H88" s="1648"/>
      <c r="I88" s="1648"/>
      <c r="J88" s="1648"/>
      <c r="K88" s="4"/>
      <c r="L88" s="4">
        <f t="shared" si="1"/>
        <v>0</v>
      </c>
      <c r="M88" s="4"/>
      <c r="N88">
        <f t="shared" si="0"/>
        <v>0</v>
      </c>
      <c r="O88">
        <f t="shared" si="2"/>
        <v>0</v>
      </c>
      <c r="P88" s="1967">
        <f>MIN(1,SUM(O88:O90))</f>
        <v>0</v>
      </c>
    </row>
    <row r="89" spans="1:16" ht="15" customHeight="1" x14ac:dyDescent="0.25">
      <c r="A89" s="4"/>
      <c r="B89" s="1937"/>
      <c r="C89" s="1934"/>
      <c r="D89" s="1307" t="s">
        <v>62</v>
      </c>
      <c r="E89" s="1021"/>
      <c r="F89" s="693">
        <f>IF(AND(P88=1,O89=1),MIN(1,L89),0)</f>
        <v>0</v>
      </c>
      <c r="G89" s="1940"/>
      <c r="H89" s="1648"/>
      <c r="I89" s="1648"/>
      <c r="J89" s="1648"/>
      <c r="K89" s="4"/>
      <c r="L89" s="4">
        <f t="shared" si="1"/>
        <v>0</v>
      </c>
      <c r="M89" s="4"/>
      <c r="N89">
        <f t="shared" si="0"/>
        <v>0</v>
      </c>
      <c r="O89">
        <f t="shared" si="2"/>
        <v>0</v>
      </c>
      <c r="P89" s="1967"/>
    </row>
    <row r="90" spans="1:16" ht="15.75" thickBot="1" x14ac:dyDescent="0.3">
      <c r="A90" s="4"/>
      <c r="B90" s="1938"/>
      <c r="C90" s="1935"/>
      <c r="D90" s="1311" t="s">
        <v>62</v>
      </c>
      <c r="E90" s="1246"/>
      <c r="F90" s="1320">
        <f>IF(AND(P88=1,O90=1),MIN(1,L90),0)</f>
        <v>0</v>
      </c>
      <c r="G90" s="1941"/>
      <c r="H90" s="1930"/>
      <c r="I90" s="1930"/>
      <c r="J90" s="1930"/>
      <c r="K90" s="4"/>
      <c r="L90" s="4">
        <f t="shared" si="1"/>
        <v>0</v>
      </c>
      <c r="M90" s="4"/>
      <c r="N90">
        <f t="shared" si="0"/>
        <v>0</v>
      </c>
      <c r="O90">
        <f t="shared" si="2"/>
        <v>0</v>
      </c>
      <c r="P90" s="1967"/>
    </row>
    <row r="91" spans="1:16" ht="15" customHeight="1" x14ac:dyDescent="0.25">
      <c r="A91" s="4"/>
      <c r="B91" s="1936"/>
      <c r="C91" s="1933"/>
      <c r="D91" s="1306" t="s">
        <v>62</v>
      </c>
      <c r="E91" s="1021"/>
      <c r="F91" s="1321">
        <f>IF(AND(P91=1,O91=1),MIN(1,L91),0)</f>
        <v>0</v>
      </c>
      <c r="G91" s="1939">
        <f>IF(P91=1,MIN(C91*(F91*O91+F92*O92+F93*O93)),MIN(C91,C91*(F91+F92+F93)))</f>
        <v>0</v>
      </c>
      <c r="H91" s="1648"/>
      <c r="I91" s="1648"/>
      <c r="J91" s="1648"/>
      <c r="K91" s="4"/>
      <c r="L91" s="4">
        <f t="shared" si="1"/>
        <v>0</v>
      </c>
      <c r="M91" s="4"/>
      <c r="N91">
        <f t="shared" si="0"/>
        <v>0</v>
      </c>
      <c r="O91">
        <f t="shared" si="2"/>
        <v>0</v>
      </c>
      <c r="P91" s="1967">
        <f>MIN(1,SUM(O91:O93))</f>
        <v>0</v>
      </c>
    </row>
    <row r="92" spans="1:16" ht="15" customHeight="1" x14ac:dyDescent="0.25">
      <c r="A92" s="4"/>
      <c r="B92" s="1937"/>
      <c r="C92" s="1934"/>
      <c r="D92" s="1307" t="s">
        <v>62</v>
      </c>
      <c r="E92" s="1021"/>
      <c r="F92" s="693">
        <f>IF(AND(P91=1,O92=1),MIN(1,L92),0)</f>
        <v>0</v>
      </c>
      <c r="G92" s="1940"/>
      <c r="H92" s="1648"/>
      <c r="I92" s="1648"/>
      <c r="J92" s="1648"/>
      <c r="K92" s="4"/>
      <c r="L92" s="4">
        <f t="shared" si="1"/>
        <v>0</v>
      </c>
      <c r="M92" s="4"/>
      <c r="N92">
        <f t="shared" si="0"/>
        <v>0</v>
      </c>
      <c r="O92">
        <f t="shared" si="2"/>
        <v>0</v>
      </c>
      <c r="P92" s="1967"/>
    </row>
    <row r="93" spans="1:16" ht="15.75" thickBot="1" x14ac:dyDescent="0.3">
      <c r="A93" s="4"/>
      <c r="B93" s="1938"/>
      <c r="C93" s="1935"/>
      <c r="D93" s="1311" t="s">
        <v>62</v>
      </c>
      <c r="E93" s="1246"/>
      <c r="F93" s="1322">
        <f>IF(AND(P91=1,O93=1),MIN(1,L93),0)</f>
        <v>0</v>
      </c>
      <c r="G93" s="1941"/>
      <c r="H93" s="1930"/>
      <c r="I93" s="1930"/>
      <c r="J93" s="1930"/>
      <c r="K93" s="4"/>
      <c r="L93" s="4">
        <f t="shared" si="1"/>
        <v>0</v>
      </c>
      <c r="M93" s="4"/>
      <c r="N93">
        <f t="shared" si="0"/>
        <v>0</v>
      </c>
      <c r="O93">
        <f t="shared" si="2"/>
        <v>0</v>
      </c>
      <c r="P93" s="1967"/>
    </row>
    <row r="94" spans="1:16" ht="15" x14ac:dyDescent="0.25">
      <c r="A94" s="4"/>
      <c r="B94" s="1936"/>
      <c r="C94" s="1933"/>
      <c r="D94" s="1306" t="s">
        <v>62</v>
      </c>
      <c r="E94" s="1021"/>
      <c r="F94" s="693">
        <f>IF(AND(P94=1,O94=1),MIN(1,L94),0)</f>
        <v>0</v>
      </c>
      <c r="G94" s="1939">
        <f>IF(P94=1,MIN(C94*(F94*O94+F95*O95+F96*O96)),MIN(C94,C94*(F94+F95+F96)))</f>
        <v>0</v>
      </c>
      <c r="H94" s="1648"/>
      <c r="I94" s="1648"/>
      <c r="J94" s="1648"/>
      <c r="K94" s="4"/>
      <c r="L94" s="4">
        <f t="shared" si="1"/>
        <v>0</v>
      </c>
      <c r="M94" s="4"/>
      <c r="N94">
        <f t="shared" si="0"/>
        <v>0</v>
      </c>
      <c r="O94">
        <f t="shared" si="2"/>
        <v>0</v>
      </c>
      <c r="P94" s="1967">
        <f>MIN(1,SUM(O94:O96))</f>
        <v>0</v>
      </c>
    </row>
    <row r="95" spans="1:16" ht="15" x14ac:dyDescent="0.25">
      <c r="A95" s="4"/>
      <c r="B95" s="1937"/>
      <c r="C95" s="1934"/>
      <c r="D95" s="1307" t="s">
        <v>62</v>
      </c>
      <c r="E95" s="1021"/>
      <c r="F95" s="693">
        <f>IF(AND(P94=1,O95=1),MIN(1,L95),0)</f>
        <v>0</v>
      </c>
      <c r="G95" s="1940"/>
      <c r="H95" s="1648"/>
      <c r="I95" s="1648"/>
      <c r="J95" s="1648"/>
      <c r="K95" s="4"/>
      <c r="L95" s="4">
        <f t="shared" si="1"/>
        <v>0</v>
      </c>
      <c r="M95" s="4"/>
      <c r="N95">
        <f t="shared" si="0"/>
        <v>0</v>
      </c>
      <c r="O95">
        <f t="shared" si="2"/>
        <v>0</v>
      </c>
      <c r="P95" s="1967"/>
    </row>
    <row r="96" spans="1:16" ht="15.75" thickBot="1" x14ac:dyDescent="0.3">
      <c r="A96" s="4"/>
      <c r="B96" s="1938"/>
      <c r="C96" s="1935"/>
      <c r="D96" s="1311" t="s">
        <v>62</v>
      </c>
      <c r="E96" s="1246"/>
      <c r="F96" s="1322">
        <f>IF(AND(P94=1,O96=1),MIN(1,L96),0)</f>
        <v>0</v>
      </c>
      <c r="G96" s="1941"/>
      <c r="H96" s="1930"/>
      <c r="I96" s="1930"/>
      <c r="J96" s="1930"/>
      <c r="K96" s="4"/>
      <c r="L96" s="4">
        <f t="shared" si="1"/>
        <v>0</v>
      </c>
      <c r="M96" s="4"/>
      <c r="N96">
        <f t="shared" si="0"/>
        <v>0</v>
      </c>
      <c r="O96">
        <f t="shared" si="2"/>
        <v>0</v>
      </c>
      <c r="P96" s="1967"/>
    </row>
    <row r="97" spans="1:16" ht="15" customHeight="1" x14ac:dyDescent="0.25">
      <c r="A97" s="4"/>
      <c r="B97" s="1936"/>
      <c r="C97" s="1933"/>
      <c r="D97" s="1306" t="s">
        <v>62</v>
      </c>
      <c r="E97" s="1021"/>
      <c r="F97" s="693">
        <f>IF(AND(P97=1,O97=1),MIN(1,L97),0)</f>
        <v>0</v>
      </c>
      <c r="G97" s="1939">
        <f>IF(P97=1,MIN(C97*(F97*O97+F98*O98+F99*O99)),MIN(C97,C97*(F97+F98+F99)))</f>
        <v>0</v>
      </c>
      <c r="H97" s="1648"/>
      <c r="I97" s="1648"/>
      <c r="J97" s="1648"/>
      <c r="K97" s="4"/>
      <c r="L97" s="4">
        <f t="shared" si="1"/>
        <v>0</v>
      </c>
      <c r="M97" s="4"/>
      <c r="N97">
        <f t="shared" si="0"/>
        <v>0</v>
      </c>
      <c r="O97">
        <f t="shared" si="2"/>
        <v>0</v>
      </c>
      <c r="P97" s="1967">
        <f>MIN(1,SUM(O97:O99))</f>
        <v>0</v>
      </c>
    </row>
    <row r="98" spans="1:16" ht="15" customHeight="1" x14ac:dyDescent="0.25">
      <c r="A98" s="4"/>
      <c r="B98" s="1937"/>
      <c r="C98" s="1934"/>
      <c r="D98" s="1307" t="s">
        <v>62</v>
      </c>
      <c r="E98" s="1021"/>
      <c r="F98" s="693">
        <f>IF(AND(P97=1,O98=1),MIN(1,L98),0)</f>
        <v>0</v>
      </c>
      <c r="G98" s="1940"/>
      <c r="H98" s="1648"/>
      <c r="I98" s="1648"/>
      <c r="J98" s="1648"/>
      <c r="K98" s="4"/>
      <c r="L98" s="4">
        <f t="shared" si="1"/>
        <v>0</v>
      </c>
      <c r="M98" s="4"/>
      <c r="N98">
        <f t="shared" si="0"/>
        <v>0</v>
      </c>
      <c r="O98">
        <f t="shared" si="2"/>
        <v>0</v>
      </c>
      <c r="P98" s="1967"/>
    </row>
    <row r="99" spans="1:16" ht="15.75" thickBot="1" x14ac:dyDescent="0.3">
      <c r="A99" s="4"/>
      <c r="B99" s="1938"/>
      <c r="C99" s="1935"/>
      <c r="D99" s="1311" t="s">
        <v>62</v>
      </c>
      <c r="E99" s="1246"/>
      <c r="F99" s="1320">
        <f>IF(AND(P97=1,O99=1),MIN(1,L99),0)</f>
        <v>0</v>
      </c>
      <c r="G99" s="1941"/>
      <c r="H99" s="1930"/>
      <c r="I99" s="1930"/>
      <c r="J99" s="1930"/>
      <c r="K99" s="4"/>
      <c r="L99" s="4">
        <f t="shared" si="1"/>
        <v>0</v>
      </c>
      <c r="M99" s="4"/>
      <c r="N99">
        <f t="shared" si="0"/>
        <v>0</v>
      </c>
      <c r="O99">
        <f t="shared" si="2"/>
        <v>0</v>
      </c>
      <c r="P99" s="1967"/>
    </row>
    <row r="100" spans="1:16" ht="15" customHeight="1" x14ac:dyDescent="0.25">
      <c r="A100" s="4"/>
      <c r="B100" s="1936"/>
      <c r="C100" s="1933"/>
      <c r="D100" s="1306" t="s">
        <v>62</v>
      </c>
      <c r="E100" s="1021"/>
      <c r="F100" s="1321">
        <f>IF(AND(P100=1,O100=1),MIN(1,L100),0)</f>
        <v>0</v>
      </c>
      <c r="G100" s="1939">
        <f>IF(P100=1,MIN(C100*(F100*O100+F101*O101+F102*O102)),MIN(C100,C100*(F100+F101+F102)))</f>
        <v>0</v>
      </c>
      <c r="H100" s="1648"/>
      <c r="I100" s="1648"/>
      <c r="J100" s="1648"/>
      <c r="K100" s="4"/>
      <c r="L100" s="4">
        <f t="shared" si="1"/>
        <v>0</v>
      </c>
      <c r="M100" s="4"/>
      <c r="N100">
        <f t="shared" si="0"/>
        <v>0</v>
      </c>
      <c r="O100">
        <f t="shared" si="2"/>
        <v>0</v>
      </c>
      <c r="P100" s="1967">
        <f>MIN(1,SUM(O100:O102))</f>
        <v>0</v>
      </c>
    </row>
    <row r="101" spans="1:16" ht="15" customHeight="1" x14ac:dyDescent="0.25">
      <c r="A101" s="4"/>
      <c r="B101" s="1937"/>
      <c r="C101" s="1934"/>
      <c r="D101" s="1307" t="s">
        <v>62</v>
      </c>
      <c r="E101" s="1021"/>
      <c r="F101" s="693">
        <f>IF(AND(P100=1,O101=1),MIN(1,L101),0)</f>
        <v>0</v>
      </c>
      <c r="G101" s="1940"/>
      <c r="H101" s="1648"/>
      <c r="I101" s="1648"/>
      <c r="J101" s="1648"/>
      <c r="K101" s="4"/>
      <c r="L101" s="4">
        <f t="shared" si="1"/>
        <v>0</v>
      </c>
      <c r="M101" s="4"/>
      <c r="N101">
        <f t="shared" si="0"/>
        <v>0</v>
      </c>
      <c r="O101">
        <f t="shared" si="2"/>
        <v>0</v>
      </c>
      <c r="P101" s="1967"/>
    </row>
    <row r="102" spans="1:16" ht="15.75" thickBot="1" x14ac:dyDescent="0.3">
      <c r="A102" s="4"/>
      <c r="B102" s="1938"/>
      <c r="C102" s="1935"/>
      <c r="D102" s="1311" t="s">
        <v>62</v>
      </c>
      <c r="E102" s="1246"/>
      <c r="F102" s="1322">
        <f>IF(AND(P100=1,O102=1),MIN(1,L102),0)</f>
        <v>0</v>
      </c>
      <c r="G102" s="1941"/>
      <c r="H102" s="1930"/>
      <c r="I102" s="1930"/>
      <c r="J102" s="1930"/>
      <c r="K102" s="4"/>
      <c r="L102" s="4">
        <f t="shared" si="1"/>
        <v>0</v>
      </c>
      <c r="M102" s="4"/>
      <c r="N102">
        <f t="shared" si="0"/>
        <v>0</v>
      </c>
      <c r="O102">
        <f t="shared" si="2"/>
        <v>0</v>
      </c>
      <c r="P102" s="1967"/>
    </row>
    <row r="103" spans="1:16" ht="15" x14ac:dyDescent="0.25">
      <c r="A103" s="4"/>
      <c r="B103" s="1936"/>
      <c r="C103" s="1933"/>
      <c r="D103" s="1306" t="s">
        <v>62</v>
      </c>
      <c r="E103" s="1021"/>
      <c r="F103" s="693">
        <f>IF(AND(P103=1,O103=1),MIN(1,L103),0)</f>
        <v>0</v>
      </c>
      <c r="G103" s="1939">
        <f>IF(P103=1,MIN(C103*(F103*O103+F104*O104+F105*O105)),MIN(C103,C103*(F103+F104+F105)))</f>
        <v>0</v>
      </c>
      <c r="H103" s="1648"/>
      <c r="I103" s="1648"/>
      <c r="J103" s="1648"/>
      <c r="K103" s="4"/>
      <c r="L103" s="4">
        <f t="shared" si="1"/>
        <v>0</v>
      </c>
      <c r="M103" s="4"/>
      <c r="N103">
        <f t="shared" si="0"/>
        <v>0</v>
      </c>
      <c r="O103">
        <f t="shared" si="2"/>
        <v>0</v>
      </c>
      <c r="P103" s="1967">
        <f>MIN(1,SUM(O103:O105))</f>
        <v>0</v>
      </c>
    </row>
    <row r="104" spans="1:16" ht="15" x14ac:dyDescent="0.25">
      <c r="A104" s="4"/>
      <c r="B104" s="1937"/>
      <c r="C104" s="1934"/>
      <c r="D104" s="1307" t="s">
        <v>62</v>
      </c>
      <c r="E104" s="1021"/>
      <c r="F104" s="693">
        <f>IF(AND(P103=1,O104=1),MIN(1,L104),0)</f>
        <v>0</v>
      </c>
      <c r="G104" s="1940"/>
      <c r="H104" s="1648"/>
      <c r="I104" s="1648"/>
      <c r="J104" s="1648"/>
      <c r="K104" s="4"/>
      <c r="L104" s="4">
        <f t="shared" si="1"/>
        <v>0</v>
      </c>
      <c r="M104" s="4"/>
      <c r="N104">
        <f t="shared" si="0"/>
        <v>0</v>
      </c>
      <c r="O104">
        <f t="shared" si="2"/>
        <v>0</v>
      </c>
      <c r="P104" s="1967"/>
    </row>
    <row r="105" spans="1:16" ht="15.75" thickBot="1" x14ac:dyDescent="0.3">
      <c r="A105" s="4"/>
      <c r="B105" s="1938"/>
      <c r="C105" s="1935"/>
      <c r="D105" s="1311" t="s">
        <v>62</v>
      </c>
      <c r="E105" s="1246"/>
      <c r="F105" s="1322">
        <f>IF(AND(P103=1,O105=1),MIN(1,L105),0)</f>
        <v>0</v>
      </c>
      <c r="G105" s="1941"/>
      <c r="H105" s="1930"/>
      <c r="I105" s="1930"/>
      <c r="J105" s="1930"/>
      <c r="K105" s="4"/>
      <c r="L105" s="4">
        <f t="shared" si="1"/>
        <v>0</v>
      </c>
      <c r="M105" s="4"/>
      <c r="N105">
        <f t="shared" si="0"/>
        <v>0</v>
      </c>
      <c r="O105">
        <f t="shared" si="2"/>
        <v>0</v>
      </c>
      <c r="P105" s="1967"/>
    </row>
    <row r="106" spans="1:16" ht="18" customHeight="1" x14ac:dyDescent="0.25">
      <c r="A106" s="4"/>
      <c r="B106" s="4"/>
      <c r="C106" s="4"/>
      <c r="D106" s="4"/>
      <c r="E106" s="4"/>
      <c r="F106" s="4"/>
      <c r="G106" s="4"/>
      <c r="H106" s="4"/>
      <c r="I106" s="4"/>
      <c r="J106" s="4"/>
      <c r="K106" s="4"/>
      <c r="P106" s="1967"/>
    </row>
    <row r="107" spans="1:16" ht="18" customHeight="1" x14ac:dyDescent="0.25">
      <c r="A107" s="4"/>
      <c r="B107" s="1960" t="s">
        <v>1076</v>
      </c>
      <c r="C107" s="1960"/>
      <c r="D107" s="1960"/>
      <c r="E107" s="1968">
        <f>SUM(G61:G105)</f>
        <v>0</v>
      </c>
      <c r="F107" s="1968"/>
      <c r="G107" s="4"/>
      <c r="H107" s="4"/>
      <c r="I107" s="4"/>
      <c r="J107" s="4"/>
      <c r="K107" s="4"/>
      <c r="P107" s="1967"/>
    </row>
    <row r="108" spans="1:16" ht="18" customHeight="1" x14ac:dyDescent="0.25">
      <c r="A108" s="4"/>
      <c r="B108" s="1960" t="s">
        <v>1077</v>
      </c>
      <c r="C108" s="1960"/>
      <c r="D108" s="1960"/>
      <c r="E108" s="1968">
        <f>SUM(C61:C105)</f>
        <v>0</v>
      </c>
      <c r="F108" s="1968"/>
      <c r="G108" s="4"/>
      <c r="H108" s="4"/>
      <c r="I108" s="4"/>
      <c r="J108" s="4"/>
      <c r="K108" s="4"/>
      <c r="P108" s="1967"/>
    </row>
    <row r="109" spans="1:16" ht="18.75" customHeight="1" x14ac:dyDescent="0.25">
      <c r="A109" s="4"/>
      <c r="B109" s="1960" t="s">
        <v>522</v>
      </c>
      <c r="C109" s="1960"/>
      <c r="D109" s="1960"/>
      <c r="E109" s="1969">
        <f>IFERROR(E107/E108,0)</f>
        <v>0</v>
      </c>
      <c r="F109" s="1969"/>
      <c r="G109" s="4"/>
      <c r="H109" s="4"/>
      <c r="I109" s="4"/>
      <c r="J109" s="4"/>
      <c r="K109" s="4"/>
      <c r="P109" s="1967"/>
    </row>
    <row r="110" spans="1:16" ht="22.5" customHeight="1" x14ac:dyDescent="0.25">
      <c r="A110" s="4"/>
      <c r="B110" s="4"/>
      <c r="C110" s="4"/>
      <c r="D110" s="4"/>
      <c r="E110" s="4"/>
      <c r="F110" s="4"/>
      <c r="G110" s="4"/>
      <c r="H110" s="4"/>
      <c r="I110" s="4"/>
      <c r="J110" s="4"/>
      <c r="K110" s="4"/>
      <c r="P110" s="1967"/>
    </row>
    <row r="111" spans="1:16" ht="18" customHeight="1" x14ac:dyDescent="0.25">
      <c r="A111" s="1947" t="s">
        <v>97</v>
      </c>
      <c r="B111" s="1947"/>
      <c r="C111" s="1947"/>
      <c r="D111" s="1947"/>
      <c r="E111" s="1947"/>
      <c r="F111" s="1947"/>
      <c r="G111" s="1947"/>
      <c r="H111" s="1947"/>
      <c r="I111" s="1947"/>
      <c r="J111" s="1947"/>
      <c r="K111" s="1947"/>
      <c r="P111" s="1967"/>
    </row>
    <row r="112" spans="1:16" ht="15" x14ac:dyDescent="0.25">
      <c r="A112" s="4"/>
      <c r="B112" s="4"/>
      <c r="C112" s="4"/>
      <c r="D112" s="4"/>
      <c r="E112" s="4"/>
      <c r="F112" s="4"/>
      <c r="G112" s="4"/>
      <c r="H112" s="4"/>
      <c r="I112" s="4"/>
      <c r="J112" s="4"/>
      <c r="K112" s="4"/>
      <c r="P112" s="1967"/>
    </row>
    <row r="113" spans="1:16" ht="21" customHeight="1" x14ac:dyDescent="0.25">
      <c r="A113" s="4"/>
      <c r="B113" s="1961" t="s">
        <v>98</v>
      </c>
      <c r="C113" s="1962"/>
      <c r="D113" s="1962"/>
      <c r="E113" s="1962"/>
      <c r="F113" s="786" t="s">
        <v>1297</v>
      </c>
      <c r="G113" s="1931" t="s">
        <v>1298</v>
      </c>
      <c r="H113" s="1932"/>
      <c r="I113" s="4"/>
      <c r="J113" s="4"/>
      <c r="K113" s="4"/>
      <c r="P113" s="1967"/>
    </row>
    <row r="114" spans="1:16" ht="27" customHeight="1" x14ac:dyDescent="0.25">
      <c r="A114" s="4"/>
      <c r="B114" s="1906" t="str">
        <f>Submittals!H55</f>
        <v>Select the Submission Stage in Project Information</v>
      </c>
      <c r="C114" s="1907"/>
      <c r="D114" s="1907"/>
      <c r="E114" s="1907"/>
      <c r="F114" s="780" t="s">
        <v>62</v>
      </c>
      <c r="G114" s="1625"/>
      <c r="H114" s="1626"/>
      <c r="I114" s="402"/>
      <c r="J114" s="4"/>
      <c r="K114" s="4"/>
      <c r="L114" s="37" t="str">
        <f>IF(OR(B114="/",B114="No evidence required at this submission stage"),"Yes",IF(F114="Submitted","Yes","No"))</f>
        <v>No</v>
      </c>
      <c r="P114" s="1967"/>
    </row>
    <row r="115" spans="1:16" ht="30" customHeight="1" x14ac:dyDescent="0.25">
      <c r="A115" s="4"/>
      <c r="B115" s="1906" t="str">
        <f>Submittals!H56</f>
        <v>Select the Submission Stage in Project Information</v>
      </c>
      <c r="C115" s="1907"/>
      <c r="D115" s="1907"/>
      <c r="E115" s="1907"/>
      <c r="F115" s="780" t="s">
        <v>62</v>
      </c>
      <c r="G115" s="1625"/>
      <c r="H115" s="1626"/>
      <c r="I115" s="779"/>
      <c r="J115" s="4"/>
      <c r="K115" s="4"/>
      <c r="L115" s="37" t="str">
        <f>IF(OR(B115="/",B115="No evidence required at this submission stage"),"Yes",IF(F115="Submitted","Yes","No"))</f>
        <v>No</v>
      </c>
      <c r="P115" s="1967"/>
    </row>
    <row r="116" spans="1:16" ht="43.5" customHeight="1" x14ac:dyDescent="0.25">
      <c r="A116" s="4"/>
      <c r="B116" s="1906" t="str">
        <f>Submittals!H57</f>
        <v>Select the Submission Stage in Project Information</v>
      </c>
      <c r="C116" s="1907"/>
      <c r="D116" s="1907"/>
      <c r="E116" s="1907"/>
      <c r="F116" s="1251" t="s">
        <v>62</v>
      </c>
      <c r="G116" s="1625"/>
      <c r="H116" s="1626"/>
      <c r="I116" s="694"/>
      <c r="J116" s="4"/>
      <c r="K116" s="4"/>
      <c r="L116" s="37" t="str">
        <f>IF(OR(B116="/",B116="No evidence required at this submission stage"),"Yes",IF(OR(F116="Already approved at PC",F116="Submitted"),"Yes","No"))</f>
        <v>No</v>
      </c>
      <c r="P116" s="1967"/>
    </row>
    <row r="117" spans="1:16" ht="18.75" customHeight="1" x14ac:dyDescent="0.25">
      <c r="A117" s="4"/>
      <c r="B117" s="4"/>
      <c r="C117" s="4"/>
      <c r="D117" s="4"/>
      <c r="E117" s="4"/>
      <c r="F117" s="4"/>
      <c r="G117" s="4"/>
      <c r="H117" s="4"/>
      <c r="I117" s="4"/>
      <c r="J117" s="4"/>
      <c r="K117" s="4"/>
      <c r="P117" s="1967"/>
    </row>
    <row r="118" spans="1:16" ht="18" customHeight="1" x14ac:dyDescent="0.25">
      <c r="A118" s="1947" t="s">
        <v>8</v>
      </c>
      <c r="B118" s="1947"/>
      <c r="C118" s="1947"/>
      <c r="D118" s="1947"/>
      <c r="E118" s="1947"/>
      <c r="F118" s="1947"/>
      <c r="G118" s="1947"/>
      <c r="H118" s="1947"/>
      <c r="I118" s="1947"/>
      <c r="J118" s="1947"/>
      <c r="K118" s="1947"/>
      <c r="P118" s="1967"/>
    </row>
    <row r="119" spans="1:16" ht="14.25" customHeight="1" x14ac:dyDescent="0.25">
      <c r="A119" s="4"/>
      <c r="B119" s="4"/>
      <c r="C119" s="4"/>
      <c r="D119" s="4"/>
      <c r="E119" s="4"/>
      <c r="F119" s="4"/>
      <c r="G119" s="4"/>
      <c r="H119" s="4"/>
      <c r="I119" s="4"/>
      <c r="J119" s="4"/>
      <c r="K119" s="4"/>
      <c r="P119" s="1967"/>
    </row>
    <row r="120" spans="1:16" ht="18" customHeight="1" x14ac:dyDescent="0.25">
      <c r="A120" s="4"/>
      <c r="B120" s="178" t="s">
        <v>19</v>
      </c>
      <c r="C120" s="8">
        <f>IF(E109&gt;=0.6,4,IF(E109&gt;=0.45,3,IF(E109&gt;=0.3,2,IF(E109&gt;=0.15,1,0))))</f>
        <v>0</v>
      </c>
      <c r="D120" s="4"/>
      <c r="E120" s="4"/>
      <c r="F120" s="4"/>
      <c r="G120" s="4"/>
      <c r="H120" s="4"/>
      <c r="I120" s="4"/>
      <c r="J120" s="4"/>
      <c r="K120" s="4"/>
      <c r="P120" s="1967"/>
    </row>
    <row r="121" spans="1:16" ht="18" customHeight="1" x14ac:dyDescent="0.25">
      <c r="A121" s="4"/>
      <c r="B121" s="179" t="s">
        <v>151</v>
      </c>
      <c r="C121" s="7" t="str">
        <f>IF(AND(COUNTIF(L114:L116,"Yes")=3,C120&gt;0),"Yes","No")</f>
        <v>No</v>
      </c>
      <c r="D121" s="4"/>
      <c r="E121" s="4"/>
      <c r="F121" s="4"/>
      <c r="G121" s="4"/>
      <c r="H121" s="4"/>
      <c r="I121" s="4"/>
      <c r="J121" s="4"/>
      <c r="K121" s="4"/>
    </row>
    <row r="122" spans="1:16" ht="21" customHeight="1" x14ac:dyDescent="0.25">
      <c r="A122" s="4"/>
      <c r="B122" s="4"/>
      <c r="C122" s="4"/>
      <c r="D122" s="4"/>
      <c r="E122" s="4"/>
      <c r="F122" s="4"/>
      <c r="G122" s="4"/>
      <c r="H122" s="4"/>
      <c r="I122" s="4"/>
      <c r="J122" s="4"/>
      <c r="K122" s="4"/>
    </row>
    <row r="123" spans="1:16" ht="14.25" hidden="1" customHeight="1" x14ac:dyDescent="0.25">
      <c r="A123" s="4"/>
      <c r="B123" s="4"/>
      <c r="C123" s="4"/>
      <c r="D123" s="4"/>
      <c r="E123" s="4"/>
      <c r="F123" s="4"/>
      <c r="G123" s="4"/>
      <c r="H123" s="4"/>
      <c r="I123" s="4"/>
      <c r="J123" s="4"/>
      <c r="K123" s="4"/>
    </row>
    <row r="124" spans="1:16" ht="15" hidden="1" x14ac:dyDescent="0.25">
      <c r="A124" s="4"/>
      <c r="B124" s="4"/>
      <c r="C124" s="4"/>
      <c r="D124" s="4"/>
      <c r="E124" s="4"/>
      <c r="F124" s="4"/>
      <c r="G124" s="4"/>
      <c r="H124" s="4"/>
      <c r="I124" s="4"/>
      <c r="J124" s="4"/>
      <c r="K124" s="4"/>
    </row>
    <row r="125" spans="1:16" ht="15" hidden="1" x14ac:dyDescent="0.25">
      <c r="A125" s="4"/>
      <c r="B125" s="4"/>
      <c r="C125" s="4"/>
      <c r="D125" s="4"/>
      <c r="E125" s="4"/>
      <c r="F125" s="4"/>
      <c r="G125" s="4"/>
      <c r="H125" s="4"/>
      <c r="I125" s="4"/>
      <c r="J125" s="4"/>
      <c r="K125" s="4"/>
    </row>
    <row r="126" spans="1:16" ht="15" hidden="1" customHeight="1" x14ac:dyDescent="0.25"/>
    <row r="127" spans="1:16" ht="15" hidden="1" customHeight="1" x14ac:dyDescent="0.25"/>
    <row r="128" spans="1:16" ht="15" hidden="1" customHeight="1" x14ac:dyDescent="0.25"/>
    <row r="129" ht="15" hidden="1" customHeight="1" x14ac:dyDescent="0.25"/>
    <row r="130" ht="15" hidden="1" customHeight="1" x14ac:dyDescent="0.25"/>
  </sheetData>
  <sheetProtection algorithmName="SHA-512" hashValue="WzyWq8buaA20TRBZGk0UWqxbutXBNpVsVXNlnjx6ITdXLdyDaUuXL53pnweTrk6VAO4mKHy6q/Hk7yakKSeKMw==" saltValue="NgKF1lTt+qusm/D/ss/00g==" spinCount="100000" sheet="1" objects="1" scenarios="1"/>
  <mergeCells count="175">
    <mergeCell ref="P112:P114"/>
    <mergeCell ref="P115:P117"/>
    <mergeCell ref="P118:P120"/>
    <mergeCell ref="P85:P87"/>
    <mergeCell ref="P88:P90"/>
    <mergeCell ref="P91:P93"/>
    <mergeCell ref="P94:P96"/>
    <mergeCell ref="P97:P99"/>
    <mergeCell ref="P100:P102"/>
    <mergeCell ref="P103:P105"/>
    <mergeCell ref="P106:P108"/>
    <mergeCell ref="P109:P111"/>
    <mergeCell ref="O60:P60"/>
    <mergeCell ref="P61:P63"/>
    <mergeCell ref="P64:P66"/>
    <mergeCell ref="P67:P69"/>
    <mergeCell ref="P70:P72"/>
    <mergeCell ref="P73:P75"/>
    <mergeCell ref="P76:P78"/>
    <mergeCell ref="P79:P81"/>
    <mergeCell ref="P82:P84"/>
    <mergeCell ref="B52:C52"/>
    <mergeCell ref="D52:E52"/>
    <mergeCell ref="B53:C53"/>
    <mergeCell ref="D53:E53"/>
    <mergeCell ref="B32:F32"/>
    <mergeCell ref="B33:F33"/>
    <mergeCell ref="E107:F107"/>
    <mergeCell ref="E108:F108"/>
    <mergeCell ref="E109:F109"/>
    <mergeCell ref="D46:E46"/>
    <mergeCell ref="D47:E47"/>
    <mergeCell ref="D48:E48"/>
    <mergeCell ref="D49:E49"/>
    <mergeCell ref="B45:C45"/>
    <mergeCell ref="B91:B93"/>
    <mergeCell ref="C91:C93"/>
    <mergeCell ref="B61:B63"/>
    <mergeCell ref="C61:C63"/>
    <mergeCell ref="D60:E60"/>
    <mergeCell ref="A38:K38"/>
    <mergeCell ref="G97:G99"/>
    <mergeCell ref="G100:G102"/>
    <mergeCell ref="G103:G105"/>
    <mergeCell ref="H91:J91"/>
    <mergeCell ref="G91:G93"/>
    <mergeCell ref="B85:B87"/>
    <mergeCell ref="C85:C87"/>
    <mergeCell ref="G85:G87"/>
    <mergeCell ref="B88:B90"/>
    <mergeCell ref="C88:C90"/>
    <mergeCell ref="G88:G90"/>
    <mergeCell ref="B70:B72"/>
    <mergeCell ref="C70:C72"/>
    <mergeCell ref="B73:B75"/>
    <mergeCell ref="C73:C75"/>
    <mergeCell ref="B79:B81"/>
    <mergeCell ref="C79:C81"/>
    <mergeCell ref="B76:B78"/>
    <mergeCell ref="C76:C78"/>
    <mergeCell ref="G76:G78"/>
    <mergeCell ref="G79:G81"/>
    <mergeCell ref="A5:K7"/>
    <mergeCell ref="A9:K9"/>
    <mergeCell ref="B11:E11"/>
    <mergeCell ref="B12:E12"/>
    <mergeCell ref="B64:B66"/>
    <mergeCell ref="C64:C66"/>
    <mergeCell ref="B67:B69"/>
    <mergeCell ref="C67:C69"/>
    <mergeCell ref="B55:C55"/>
    <mergeCell ref="B50:C50"/>
    <mergeCell ref="B51:C51"/>
    <mergeCell ref="D51:E51"/>
    <mergeCell ref="D54:E54"/>
    <mergeCell ref="D55:E55"/>
    <mergeCell ref="D56:E56"/>
    <mergeCell ref="B29:F29"/>
    <mergeCell ref="B30:F30"/>
    <mergeCell ref="B31:F31"/>
    <mergeCell ref="B34:F34"/>
    <mergeCell ref="B35:F35"/>
    <mergeCell ref="B36:F36"/>
    <mergeCell ref="D50:E50"/>
    <mergeCell ref="D45:E45"/>
    <mergeCell ref="A14:K14"/>
    <mergeCell ref="A118:K118"/>
    <mergeCell ref="B44:D44"/>
    <mergeCell ref="B107:D107"/>
    <mergeCell ref="B108:D108"/>
    <mergeCell ref="B109:D109"/>
    <mergeCell ref="B46:C46"/>
    <mergeCell ref="B47:C47"/>
    <mergeCell ref="B48:C48"/>
    <mergeCell ref="B97:B99"/>
    <mergeCell ref="B82:B84"/>
    <mergeCell ref="B113:E113"/>
    <mergeCell ref="G113:H113"/>
    <mergeCell ref="B114:E114"/>
    <mergeCell ref="G114:H114"/>
    <mergeCell ref="B116:E116"/>
    <mergeCell ref="G116:H116"/>
    <mergeCell ref="B115:E115"/>
    <mergeCell ref="G115:H115"/>
    <mergeCell ref="A111:K111"/>
    <mergeCell ref="C97:C99"/>
    <mergeCell ref="B100:B102"/>
    <mergeCell ref="C100:C102"/>
    <mergeCell ref="B103:B105"/>
    <mergeCell ref="C103:C105"/>
    <mergeCell ref="B25:F25"/>
    <mergeCell ref="B26:F26"/>
    <mergeCell ref="B27:F27"/>
    <mergeCell ref="B28:F28"/>
    <mergeCell ref="C82:C84"/>
    <mergeCell ref="B94:B96"/>
    <mergeCell ref="C94:C96"/>
    <mergeCell ref="A1:K1"/>
    <mergeCell ref="K2:K4"/>
    <mergeCell ref="B49:C49"/>
    <mergeCell ref="B56:C56"/>
    <mergeCell ref="B54:C54"/>
    <mergeCell ref="G94:G96"/>
    <mergeCell ref="H70:J70"/>
    <mergeCell ref="H71:J71"/>
    <mergeCell ref="H72:J72"/>
    <mergeCell ref="G82:G84"/>
    <mergeCell ref="H2:J4"/>
    <mergeCell ref="G61:G63"/>
    <mergeCell ref="G64:G66"/>
    <mergeCell ref="G67:G69"/>
    <mergeCell ref="H69:J69"/>
    <mergeCell ref="G70:G72"/>
    <mergeCell ref="G73:G75"/>
    <mergeCell ref="H92:J92"/>
    <mergeCell ref="H93:J93"/>
    <mergeCell ref="H73:J73"/>
    <mergeCell ref="H74:J74"/>
    <mergeCell ref="H75:J75"/>
    <mergeCell ref="H76:J76"/>
    <mergeCell ref="H77:J77"/>
    <mergeCell ref="H78:J78"/>
    <mergeCell ref="H79:J79"/>
    <mergeCell ref="H80:J80"/>
    <mergeCell ref="H81:J81"/>
    <mergeCell ref="H82:J82"/>
    <mergeCell ref="H83:J83"/>
    <mergeCell ref="H84:J84"/>
    <mergeCell ref="H85:J85"/>
    <mergeCell ref="H86:J86"/>
    <mergeCell ref="H87:J87"/>
    <mergeCell ref="H88:J88"/>
    <mergeCell ref="H89:J89"/>
    <mergeCell ref="H90:J90"/>
    <mergeCell ref="H60:J60"/>
    <mergeCell ref="H61:J61"/>
    <mergeCell ref="H62:J62"/>
    <mergeCell ref="H63:J63"/>
    <mergeCell ref="H64:J64"/>
    <mergeCell ref="H65:J65"/>
    <mergeCell ref="H66:J66"/>
    <mergeCell ref="H67:J67"/>
    <mergeCell ref="H68:J68"/>
    <mergeCell ref="H103:J103"/>
    <mergeCell ref="H104:J104"/>
    <mergeCell ref="H105:J105"/>
    <mergeCell ref="H94:J94"/>
    <mergeCell ref="H95:J95"/>
    <mergeCell ref="H96:J96"/>
    <mergeCell ref="H97:J97"/>
    <mergeCell ref="H98:J98"/>
    <mergeCell ref="H99:J99"/>
    <mergeCell ref="H100:J100"/>
    <mergeCell ref="H101:J101"/>
    <mergeCell ref="H102:J102"/>
  </mergeCells>
  <conditionalFormatting sqref="F12 B12">
    <cfRule type="expression" dxfId="422" priority="100">
      <formula>OR(#REF!="No",#REF!="Không")</formula>
    </cfRule>
  </conditionalFormatting>
  <conditionalFormatting sqref="F12 B12">
    <cfRule type="expression" dxfId="421" priority="101">
      <formula>OR($D12="No",$D12="Không")</formula>
    </cfRule>
    <cfRule type="expression" dxfId="420" priority="102">
      <formula>OR(#REF!="No",#REF!="Không")</formula>
    </cfRule>
  </conditionalFormatting>
  <conditionalFormatting sqref="F114:H115 G116:H116">
    <cfRule type="expression" dxfId="419" priority="87">
      <formula>$B114="/"</formula>
    </cfRule>
    <cfRule type="expression" dxfId="418" priority="88">
      <formula>$B114="No evidence required at this submission stage"</formula>
    </cfRule>
  </conditionalFormatting>
  <conditionalFormatting sqref="E61 E63 E69 E66">
    <cfRule type="expression" dxfId="417" priority="50">
      <formula>$N61&lt;&gt;1</formula>
    </cfRule>
  </conditionalFormatting>
  <conditionalFormatting sqref="E62">
    <cfRule type="expression" dxfId="416" priority="49">
      <formula>$N62&lt;&gt;1</formula>
    </cfRule>
  </conditionalFormatting>
  <conditionalFormatting sqref="E77">
    <cfRule type="expression" dxfId="415" priority="19">
      <formula>$N77&lt;&gt;1</formula>
    </cfRule>
  </conditionalFormatting>
  <conditionalFormatting sqref="E76">
    <cfRule type="expression" dxfId="414" priority="20">
      <formula>$N76&lt;&gt;1</formula>
    </cfRule>
  </conditionalFormatting>
  <conditionalFormatting sqref="E80">
    <cfRule type="expression" dxfId="413" priority="17">
      <formula>$N80&lt;&gt;1</formula>
    </cfRule>
  </conditionalFormatting>
  <conditionalFormatting sqref="E68">
    <cfRule type="expression" dxfId="412" priority="45">
      <formula>$N68&lt;&gt;1</formula>
    </cfRule>
  </conditionalFormatting>
  <conditionalFormatting sqref="E67">
    <cfRule type="expression" dxfId="411" priority="46">
      <formula>$N67&lt;&gt;1</formula>
    </cfRule>
  </conditionalFormatting>
  <conditionalFormatting sqref="E79 E81 E87 E84">
    <cfRule type="expression" dxfId="410" priority="18">
      <formula>$N79&lt;&gt;1</formula>
    </cfRule>
  </conditionalFormatting>
  <conditionalFormatting sqref="E82">
    <cfRule type="expression" dxfId="409" priority="16">
      <formula>$N82&lt;&gt;1</formula>
    </cfRule>
  </conditionalFormatting>
  <conditionalFormatting sqref="E64">
    <cfRule type="expression" dxfId="408" priority="48">
      <formula>$N64&lt;&gt;1</formula>
    </cfRule>
  </conditionalFormatting>
  <conditionalFormatting sqref="E65">
    <cfRule type="expression" dxfId="407" priority="47">
      <formula>$N65&lt;&gt;1</formula>
    </cfRule>
  </conditionalFormatting>
  <conditionalFormatting sqref="E83">
    <cfRule type="expression" dxfId="406" priority="15">
      <formula>$N83&lt;&gt;1</formula>
    </cfRule>
  </conditionalFormatting>
  <conditionalFormatting sqref="F116">
    <cfRule type="expression" dxfId="405" priority="25">
      <formula>$B116="/"</formula>
    </cfRule>
    <cfRule type="expression" dxfId="404" priority="26">
      <formula>$B116="No evidence required at this submission stage"</formula>
    </cfRule>
  </conditionalFormatting>
  <conditionalFormatting sqref="E70 E72 E78 E75">
    <cfRule type="expression" dxfId="403" priority="24">
      <formula>$N70&lt;&gt;1</formula>
    </cfRule>
  </conditionalFormatting>
  <conditionalFormatting sqref="E71">
    <cfRule type="expression" dxfId="402" priority="23">
      <formula>$N71&lt;&gt;1</formula>
    </cfRule>
  </conditionalFormatting>
  <conditionalFormatting sqref="E73">
    <cfRule type="expression" dxfId="401" priority="22">
      <formula>$N73&lt;&gt;1</formula>
    </cfRule>
  </conditionalFormatting>
  <conditionalFormatting sqref="E74">
    <cfRule type="expression" dxfId="400" priority="21">
      <formula>$N74&lt;&gt;1</formula>
    </cfRule>
  </conditionalFormatting>
  <conditionalFormatting sqref="E86">
    <cfRule type="expression" dxfId="399" priority="13">
      <formula>$N86&lt;&gt;1</formula>
    </cfRule>
  </conditionalFormatting>
  <conditionalFormatting sqref="E85">
    <cfRule type="expression" dxfId="398" priority="14">
      <formula>$N85&lt;&gt;1</formula>
    </cfRule>
  </conditionalFormatting>
  <conditionalFormatting sqref="E88 E90 E96 E93">
    <cfRule type="expression" dxfId="397" priority="12">
      <formula>$N88&lt;&gt;1</formula>
    </cfRule>
  </conditionalFormatting>
  <conditionalFormatting sqref="E89">
    <cfRule type="expression" dxfId="396" priority="11">
      <formula>$N89&lt;&gt;1</formula>
    </cfRule>
  </conditionalFormatting>
  <conditionalFormatting sqref="E95">
    <cfRule type="expression" dxfId="395" priority="7">
      <formula>$N95&lt;&gt;1</formula>
    </cfRule>
  </conditionalFormatting>
  <conditionalFormatting sqref="E94">
    <cfRule type="expression" dxfId="394" priority="8">
      <formula>$N94&lt;&gt;1</formula>
    </cfRule>
  </conditionalFormatting>
  <conditionalFormatting sqref="E91">
    <cfRule type="expression" dxfId="393" priority="10">
      <formula>$N91&lt;&gt;1</formula>
    </cfRule>
  </conditionalFormatting>
  <conditionalFormatting sqref="E92">
    <cfRule type="expression" dxfId="392" priority="9">
      <formula>$N92&lt;&gt;1</formula>
    </cfRule>
  </conditionalFormatting>
  <conditionalFormatting sqref="E97 E99 E105 E102">
    <cfRule type="expression" dxfId="391" priority="6">
      <formula>$N97&lt;&gt;1</formula>
    </cfRule>
  </conditionalFormatting>
  <conditionalFormatting sqref="E98">
    <cfRule type="expression" dxfId="390" priority="5">
      <formula>$N98&lt;&gt;1</formula>
    </cfRule>
  </conditionalFormatting>
  <conditionalFormatting sqref="E104">
    <cfRule type="expression" dxfId="389" priority="1">
      <formula>$N104&lt;&gt;1</formula>
    </cfRule>
  </conditionalFormatting>
  <conditionalFormatting sqref="E103">
    <cfRule type="expression" dxfId="388" priority="2">
      <formula>$N103&lt;&gt;1</formula>
    </cfRule>
  </conditionalFormatting>
  <conditionalFormatting sqref="E100">
    <cfRule type="expression" dxfId="387" priority="4">
      <formula>$N100&lt;&gt;1</formula>
    </cfRule>
  </conditionalFormatting>
  <conditionalFormatting sqref="E101">
    <cfRule type="expression" dxfId="386" priority="3">
      <formula>$N101&lt;&gt;1</formula>
    </cfRule>
  </conditionalFormatting>
  <dataValidations count="6">
    <dataValidation allowBlank="1" showInputMessage="1" showErrorMessage="1" prompt="Describe the sustainable features of the furniture" sqref="H60"/>
    <dataValidation type="list" allowBlank="1" showInputMessage="1" showErrorMessage="1" sqref="F114:F115">
      <formula1>"Select,Submitted,Not submitted"</formula1>
    </dataValidation>
    <dataValidation allowBlank="1" showInputMessage="1" showErrorMessage="1" prompt="Enter either the:_x000a_- % of reused components (by mass)._x000a_- % of recycled content._x000a_- % of rapidly renewable material_x000a_- % of sustainable timber_x000a_Else, do not complete the cell." sqref="E61:E105"/>
    <dataValidation type="list" allowBlank="1" showInputMessage="1" showErrorMessage="1" sqref="D61:D105">
      <formula1>Sustainable_furniture</formula1>
    </dataValidation>
    <dataValidation allowBlank="1" showInputMessage="1" showErrorMessage="1" prompt="Enter relevant information on the sustainable features of the materials: origin of reused materials, % of pre-consumer recycled content, % of post-consumer recycled content, transportation distance, etc. " sqref="H61:H105"/>
    <dataValidation type="list" allowBlank="1" showInputMessage="1" showErrorMessage="1" sqref="F116">
      <formula1>Sub_FC</formula1>
    </dataValidation>
  </dataValidations>
  <hyperlinks>
    <hyperlink ref="K2" location="'M-1 Sustainable Materials'!A1" tooltip="M-1" display="M-1"/>
    <hyperlink ref="K2:K4" location="'M-1 Sustainable Materials'!B3" tooltip="M-1" display="M-1"/>
  </hyperlink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4A562A"/>
  </sheetPr>
  <dimension ref="A1:Q55"/>
  <sheetViews>
    <sheetView showRowColHeaders="0" zoomScale="90" zoomScaleNormal="90" workbookViewId="0">
      <selection activeCell="E11" sqref="E11:F11"/>
    </sheetView>
  </sheetViews>
  <sheetFormatPr defaultColWidth="0" defaultRowHeight="0" customHeight="1" zeroHeight="1" x14ac:dyDescent="0.25"/>
  <cols>
    <col min="1" max="1" width="5.7109375" style="302" customWidth="1"/>
    <col min="2" max="2" width="34.85546875" style="302" customWidth="1"/>
    <col min="3" max="3" width="3.7109375" style="302" customWidth="1"/>
    <col min="4" max="4" width="11.140625" customWidth="1"/>
    <col min="5" max="6" width="24.140625" customWidth="1"/>
    <col min="7" max="8" width="19.7109375" customWidth="1"/>
    <col min="9" max="9" width="10.42578125" customWidth="1"/>
    <col min="10" max="10" width="8" customWidth="1"/>
    <col min="11" max="12" width="4.7109375" customWidth="1"/>
    <col min="13" max="17" width="0" hidden="1" customWidth="1"/>
    <col min="18" max="16384" width="9.140625" hidden="1"/>
  </cols>
  <sheetData>
    <row r="1" spans="1:12" ht="38.25" customHeight="1" x14ac:dyDescent="0.25">
      <c r="A1" s="303"/>
      <c r="B1" s="1978" t="s">
        <v>306</v>
      </c>
      <c r="C1" s="304"/>
      <c r="D1" s="1"/>
      <c r="E1" s="1"/>
      <c r="F1" s="1"/>
      <c r="G1" s="1"/>
      <c r="H1" s="1"/>
      <c r="I1" s="1"/>
      <c r="J1" s="1"/>
      <c r="K1" s="1"/>
      <c r="L1" s="1"/>
    </row>
    <row r="2" spans="1:12" ht="25.5" customHeight="1" x14ac:dyDescent="0.25">
      <c r="A2" s="303"/>
      <c r="B2" s="1978"/>
      <c r="C2" s="322"/>
      <c r="D2" s="1"/>
      <c r="E2" s="1"/>
      <c r="F2" s="1"/>
      <c r="G2" s="1"/>
      <c r="H2" s="1"/>
      <c r="I2" s="1"/>
      <c r="J2" s="1"/>
      <c r="K2" s="1"/>
      <c r="L2" s="1"/>
    </row>
    <row r="3" spans="1:12" ht="15" customHeight="1" x14ac:dyDescent="0.25">
      <c r="A3" s="303"/>
      <c r="B3" s="1978"/>
      <c r="C3" s="304"/>
      <c r="D3" s="1"/>
      <c r="E3" s="1979" t="s">
        <v>369</v>
      </c>
      <c r="F3" s="1980"/>
      <c r="G3" s="1983" t="s">
        <v>360</v>
      </c>
      <c r="H3" s="1"/>
      <c r="I3" s="1"/>
      <c r="J3" s="1"/>
      <c r="K3" s="1"/>
      <c r="L3" s="1"/>
    </row>
    <row r="4" spans="1:12" ht="15" customHeight="1" x14ac:dyDescent="0.25">
      <c r="A4" s="303"/>
      <c r="B4" s="1978"/>
      <c r="C4" s="304"/>
      <c r="D4" s="1"/>
      <c r="E4" s="1981"/>
      <c r="F4" s="1982"/>
      <c r="G4" s="1983"/>
      <c r="H4" s="1"/>
      <c r="I4" s="1"/>
      <c r="J4" s="1"/>
      <c r="K4" s="1"/>
      <c r="L4" s="1"/>
    </row>
    <row r="5" spans="1:12" ht="24" customHeight="1" x14ac:dyDescent="0.25">
      <c r="A5" s="303"/>
      <c r="B5" s="303"/>
      <c r="C5" s="303"/>
      <c r="D5" s="1"/>
      <c r="E5" s="1985" t="s">
        <v>2312</v>
      </c>
      <c r="F5" s="1986"/>
      <c r="G5" s="104" t="str">
        <f>'WP-PR-1 &amp; WP-2 Fit-out Waste'!C61</f>
        <v>No</v>
      </c>
      <c r="H5" s="1"/>
      <c r="I5" s="1"/>
      <c r="J5" s="1"/>
      <c r="K5" s="1"/>
      <c r="L5" s="1"/>
    </row>
    <row r="6" spans="1:12" ht="22.5" customHeight="1" x14ac:dyDescent="0.25">
      <c r="A6" s="303"/>
      <c r="B6" s="1984" t="s">
        <v>1803</v>
      </c>
      <c r="C6" s="305"/>
      <c r="D6" s="1"/>
      <c r="E6" s="1"/>
      <c r="F6" s="1"/>
      <c r="G6" s="1"/>
      <c r="H6" s="1"/>
      <c r="I6" s="1"/>
      <c r="J6" s="1"/>
      <c r="K6" s="1"/>
      <c r="L6" s="1"/>
    </row>
    <row r="7" spans="1:12" ht="15" customHeight="1" x14ac:dyDescent="0.25">
      <c r="A7" s="303"/>
      <c r="B7" s="1984"/>
      <c r="C7" s="305"/>
      <c r="D7" s="1"/>
      <c r="E7" s="1979" t="s">
        <v>136</v>
      </c>
      <c r="F7" s="1980"/>
      <c r="G7" s="1983" t="s">
        <v>137</v>
      </c>
      <c r="H7" s="1983" t="s">
        <v>19</v>
      </c>
      <c r="I7" s="1"/>
      <c r="J7" s="1"/>
      <c r="K7" s="1"/>
      <c r="L7" s="1"/>
    </row>
    <row r="8" spans="1:12" ht="15" customHeight="1" x14ac:dyDescent="0.25">
      <c r="A8" s="303"/>
      <c r="B8" s="1984"/>
      <c r="C8" s="305"/>
      <c r="D8" s="1"/>
      <c r="E8" s="1981"/>
      <c r="F8" s="1982"/>
      <c r="G8" s="1983"/>
      <c r="H8" s="1983"/>
      <c r="I8" s="1"/>
      <c r="J8" s="1"/>
      <c r="K8" s="1"/>
      <c r="L8" s="1"/>
    </row>
    <row r="9" spans="1:12" ht="24" customHeight="1" x14ac:dyDescent="0.25">
      <c r="A9" s="306"/>
      <c r="B9" s="1984"/>
      <c r="C9" s="305"/>
      <c r="D9" s="1"/>
      <c r="E9" s="1985" t="s">
        <v>343</v>
      </c>
      <c r="F9" s="1986"/>
      <c r="G9" s="104">
        <v>1</v>
      </c>
      <c r="H9" s="104">
        <f>'WP-1 Refrigerants'!O16</f>
        <v>0</v>
      </c>
      <c r="I9" s="1"/>
      <c r="J9" s="1"/>
      <c r="K9" s="1"/>
      <c r="L9" s="1"/>
    </row>
    <row r="10" spans="1:12" ht="24" customHeight="1" x14ac:dyDescent="0.25">
      <c r="A10" s="306"/>
      <c r="B10" s="1984"/>
      <c r="C10" s="307"/>
      <c r="D10" s="1"/>
      <c r="E10" s="1985" t="s">
        <v>2310</v>
      </c>
      <c r="F10" s="1986"/>
      <c r="G10" s="104">
        <v>2</v>
      </c>
      <c r="H10" s="104">
        <f>'WP-PR-1 &amp; WP-2 Fit-out Waste'!G15+'WP-PR-1 &amp; WP-2 Fit-out Waste'!G16</f>
        <v>0</v>
      </c>
      <c r="I10" s="1"/>
      <c r="J10" s="1"/>
      <c r="K10" s="1"/>
      <c r="L10" s="1"/>
    </row>
    <row r="11" spans="1:12" ht="24" customHeight="1" x14ac:dyDescent="0.25">
      <c r="A11" s="306"/>
      <c r="B11" s="1984"/>
      <c r="C11" s="307"/>
      <c r="D11" s="1"/>
      <c r="E11" s="1985" t="s">
        <v>2311</v>
      </c>
      <c r="F11" s="1986"/>
      <c r="G11" s="104">
        <v>2</v>
      </c>
      <c r="H11" s="104">
        <f>'WP-3 Operation Waste Management'!G12+'WP-3 Operation Waste Management'!G13</f>
        <v>0</v>
      </c>
      <c r="I11" s="1"/>
      <c r="J11" s="1"/>
      <c r="K11" s="1"/>
      <c r="L11" s="1"/>
    </row>
    <row r="12" spans="1:12" ht="26.25" customHeight="1" x14ac:dyDescent="0.25">
      <c r="A12" s="306"/>
      <c r="B12" s="307"/>
      <c r="C12" s="307"/>
      <c r="D12" s="1"/>
      <c r="E12" s="308" t="s">
        <v>29</v>
      </c>
      <c r="F12" s="309"/>
      <c r="G12" s="310">
        <f>SUM(G5:G11)</f>
        <v>5</v>
      </c>
      <c r="H12" s="310">
        <f>SUM(H5:H11)</f>
        <v>0</v>
      </c>
      <c r="I12" s="1"/>
      <c r="J12" s="1"/>
      <c r="K12" s="1"/>
      <c r="L12" s="1"/>
    </row>
    <row r="13" spans="1:12" ht="15" customHeight="1" x14ac:dyDescent="0.25">
      <c r="A13" s="306"/>
      <c r="B13" s="307"/>
      <c r="C13" s="307"/>
      <c r="D13" s="1"/>
      <c r="E13" s="1"/>
      <c r="F13" s="1"/>
      <c r="G13" s="1"/>
      <c r="H13" s="1"/>
      <c r="I13" s="1"/>
      <c r="J13" s="1"/>
      <c r="K13" s="1"/>
      <c r="L13" s="1"/>
    </row>
    <row r="14" spans="1:12" ht="15" customHeight="1" x14ac:dyDescent="0.25">
      <c r="A14" s="306"/>
      <c r="B14" s="307"/>
      <c r="C14" s="307"/>
      <c r="D14" s="1"/>
      <c r="E14" s="1"/>
      <c r="F14" s="1"/>
      <c r="G14" s="1"/>
      <c r="H14" s="1"/>
      <c r="I14" s="1"/>
      <c r="J14" s="1"/>
      <c r="K14" s="1"/>
      <c r="L14" s="1"/>
    </row>
    <row r="15" spans="1:12" ht="15" customHeight="1" x14ac:dyDescent="0.25">
      <c r="A15" s="307"/>
      <c r="B15" s="307"/>
      <c r="C15" s="307"/>
      <c r="D15" s="1"/>
      <c r="E15" s="1"/>
      <c r="F15" s="1"/>
      <c r="G15" s="1"/>
      <c r="H15" s="1"/>
      <c r="I15" s="1"/>
      <c r="J15" s="1"/>
      <c r="K15" s="1"/>
      <c r="L15" s="1"/>
    </row>
    <row r="16" spans="1:12" ht="15" hidden="1" customHeight="1" x14ac:dyDescent="0.25">
      <c r="A16"/>
      <c r="B16"/>
      <c r="C16"/>
    </row>
    <row r="17" spans="1:3" ht="15" hidden="1" customHeight="1" x14ac:dyDescent="0.25">
      <c r="A17"/>
      <c r="B17"/>
      <c r="C17"/>
    </row>
    <row r="18" spans="1:3" ht="15" hidden="1" customHeight="1" x14ac:dyDescent="0.25">
      <c r="A18"/>
      <c r="B18"/>
      <c r="C18"/>
    </row>
    <row r="19" spans="1:3" ht="15" hidden="1" customHeight="1" x14ac:dyDescent="0.25">
      <c r="A19"/>
      <c r="B19"/>
      <c r="C19"/>
    </row>
    <row r="20" spans="1:3" ht="15" hidden="1" customHeight="1" x14ac:dyDescent="0.25">
      <c r="A20"/>
      <c r="B20"/>
      <c r="C20"/>
    </row>
    <row r="21" spans="1:3" ht="15" hidden="1" customHeight="1" x14ac:dyDescent="0.25">
      <c r="A21"/>
      <c r="B21"/>
      <c r="C21"/>
    </row>
    <row r="22" spans="1:3" ht="15" hidden="1" customHeight="1" x14ac:dyDescent="0.25">
      <c r="A22"/>
      <c r="B22"/>
      <c r="C22"/>
    </row>
    <row r="23" spans="1:3" ht="15" hidden="1" customHeight="1" x14ac:dyDescent="0.25">
      <c r="A23"/>
      <c r="B23"/>
      <c r="C23"/>
    </row>
    <row r="24" spans="1:3" ht="15" hidden="1" customHeight="1" x14ac:dyDescent="0.25">
      <c r="A24"/>
      <c r="B24"/>
      <c r="C24"/>
    </row>
    <row r="25" spans="1:3" ht="15" hidden="1" customHeight="1" x14ac:dyDescent="0.25">
      <c r="A25"/>
      <c r="B25"/>
      <c r="C25"/>
    </row>
    <row r="26" spans="1:3" ht="15" hidden="1" customHeight="1" x14ac:dyDescent="0.25">
      <c r="A26"/>
      <c r="B26"/>
      <c r="C26"/>
    </row>
    <row r="27" spans="1:3" ht="15" hidden="1" customHeight="1" x14ac:dyDescent="0.25">
      <c r="A27"/>
      <c r="B27"/>
      <c r="C27"/>
    </row>
    <row r="28" spans="1:3" ht="15" hidden="1" customHeight="1" x14ac:dyDescent="0.25">
      <c r="A28"/>
      <c r="B28"/>
      <c r="C28"/>
    </row>
    <row r="29" spans="1:3" ht="15" hidden="1" customHeight="1" x14ac:dyDescent="0.25">
      <c r="A29"/>
      <c r="B29"/>
      <c r="C29"/>
    </row>
    <row r="30" spans="1:3" ht="15" hidden="1" customHeight="1" x14ac:dyDescent="0.25">
      <c r="A30"/>
      <c r="B30"/>
      <c r="C30"/>
    </row>
    <row r="31" spans="1:3" ht="15" hidden="1" customHeight="1" x14ac:dyDescent="0.25">
      <c r="A31"/>
      <c r="B31"/>
      <c r="C31"/>
    </row>
    <row r="32" spans="1:3" ht="15" hidden="1" customHeight="1" x14ac:dyDescent="0.25">
      <c r="A32"/>
      <c r="B32"/>
      <c r="C32"/>
    </row>
    <row r="33" spans="1:3" ht="15" hidden="1" customHeight="1" x14ac:dyDescent="0.25">
      <c r="A33"/>
      <c r="B33"/>
      <c r="C33"/>
    </row>
    <row r="34" spans="1:3" ht="15" hidden="1" customHeight="1" x14ac:dyDescent="0.25">
      <c r="A34"/>
      <c r="B34"/>
      <c r="C34"/>
    </row>
    <row r="35" spans="1:3" ht="15" hidden="1" customHeight="1" x14ac:dyDescent="0.25">
      <c r="A35"/>
      <c r="B35"/>
      <c r="C35"/>
    </row>
    <row r="36" spans="1:3" ht="15" hidden="1" customHeight="1" x14ac:dyDescent="0.25">
      <c r="A36"/>
      <c r="B36"/>
      <c r="C36"/>
    </row>
    <row r="37" spans="1:3" ht="15" hidden="1" customHeight="1" x14ac:dyDescent="0.25">
      <c r="A37"/>
      <c r="B37"/>
      <c r="C37"/>
    </row>
    <row r="38" spans="1:3" ht="15" hidden="1" customHeight="1" x14ac:dyDescent="0.25">
      <c r="A38"/>
      <c r="B38"/>
      <c r="C38"/>
    </row>
    <row r="39" spans="1:3" ht="15" hidden="1" customHeight="1" x14ac:dyDescent="0.25">
      <c r="A39"/>
      <c r="B39"/>
      <c r="C39"/>
    </row>
    <row r="40" spans="1:3" ht="15" hidden="1" customHeight="1" x14ac:dyDescent="0.25">
      <c r="A40"/>
      <c r="B40"/>
      <c r="C40"/>
    </row>
    <row r="41" spans="1:3" ht="15" hidden="1" customHeight="1" x14ac:dyDescent="0.25">
      <c r="A41"/>
      <c r="B41"/>
      <c r="C41"/>
    </row>
    <row r="42" spans="1:3" ht="15" hidden="1" customHeight="1" x14ac:dyDescent="0.25">
      <c r="A42"/>
      <c r="B42"/>
      <c r="C42"/>
    </row>
    <row r="43" spans="1:3" ht="15" hidden="1" customHeight="1" x14ac:dyDescent="0.25">
      <c r="A43"/>
      <c r="B43"/>
      <c r="C43"/>
    </row>
    <row r="44" spans="1:3" ht="15" hidden="1" customHeight="1" x14ac:dyDescent="0.25">
      <c r="A44"/>
      <c r="B44"/>
      <c r="C44"/>
    </row>
    <row r="45" spans="1:3" ht="15" hidden="1" customHeight="1" x14ac:dyDescent="0.25">
      <c r="A45"/>
      <c r="B45"/>
      <c r="C45"/>
    </row>
    <row r="46" spans="1:3" ht="15" hidden="1" customHeight="1" x14ac:dyDescent="0.25">
      <c r="A46"/>
      <c r="B46"/>
      <c r="C46"/>
    </row>
    <row r="47" spans="1:3" ht="15" hidden="1" customHeight="1" x14ac:dyDescent="0.25">
      <c r="A47"/>
      <c r="B47"/>
      <c r="C47"/>
    </row>
    <row r="48" spans="1:3" ht="15" hidden="1" customHeight="1" x14ac:dyDescent="0.25">
      <c r="A48"/>
      <c r="B48"/>
      <c r="C48"/>
    </row>
    <row r="49" spans="1:3" ht="15" hidden="1" customHeight="1" x14ac:dyDescent="0.25">
      <c r="A49"/>
      <c r="B49"/>
      <c r="C49"/>
    </row>
    <row r="50" spans="1:3" ht="15" hidden="1" customHeight="1" x14ac:dyDescent="0.25">
      <c r="A50"/>
      <c r="B50"/>
      <c r="C50"/>
    </row>
    <row r="51" spans="1:3" ht="15" hidden="1" customHeight="1" x14ac:dyDescent="0.25">
      <c r="A51"/>
      <c r="B51"/>
      <c r="C51"/>
    </row>
    <row r="52" spans="1:3" ht="15" hidden="1" customHeight="1" x14ac:dyDescent="0.25">
      <c r="A52"/>
      <c r="B52"/>
      <c r="C52"/>
    </row>
    <row r="53" spans="1:3" ht="15" hidden="1" customHeight="1" x14ac:dyDescent="0.25">
      <c r="A53"/>
      <c r="B53"/>
      <c r="C53"/>
    </row>
    <row r="54" spans="1:3" ht="15" hidden="1" customHeight="1" x14ac:dyDescent="0.25">
      <c r="A54"/>
      <c r="B54"/>
      <c r="C54"/>
    </row>
    <row r="55" spans="1:3" ht="15" hidden="1" customHeight="1" x14ac:dyDescent="0.25">
      <c r="A55"/>
      <c r="B55"/>
      <c r="C55"/>
    </row>
  </sheetData>
  <sheetProtection algorithmName="SHA-512" hashValue="GAQi7hudjEaJ3RxbQXE7fpE3wXg2SfQdosHIbsqW+Lvcs+5CeN7e/liOyEShc9G70XspxH4sml0cVGVQEgI2ww==" saltValue="/CliO8Yl2nJx6yDwWMec0A==" spinCount="100000" sheet="1" objects="1" scenarios="1"/>
  <mergeCells count="11">
    <mergeCell ref="H7:H8"/>
    <mergeCell ref="E5:F5"/>
    <mergeCell ref="E9:F9"/>
    <mergeCell ref="E10:F10"/>
    <mergeCell ref="E11:F11"/>
    <mergeCell ref="B1:B4"/>
    <mergeCell ref="E7:F8"/>
    <mergeCell ref="E3:F4"/>
    <mergeCell ref="G3:G4"/>
    <mergeCell ref="B6:B11"/>
    <mergeCell ref="G7:G8"/>
  </mergeCells>
  <hyperlinks>
    <hyperlink ref="E10:F10" location="'WP-PR-1 &amp; WP-2 Fit-out Waste'!B3" tooltip="WP-2 Fit-out Waste" display="WP-2 Fit-out Waste"/>
    <hyperlink ref="E9:F9" location="'WP-1 Refrigerants'!B3" tooltip="WP-1 Refrigerants" display="WP-1 Refrigerants"/>
    <hyperlink ref="E11:F11" location="'WP-3 Operation Waste Management'!B3" tooltip="WP-3 Operation Waste management" display="WP-3 Waste management"/>
    <hyperlink ref="E9" location="'WP-1 Refrigerants'!A1" tooltip="WP-1 Refrigerants" display="WP-1 Refrigerants"/>
    <hyperlink ref="E5:F5" location="'WP-PR-1 &amp; WP-2 Fit-out Waste'!B3" tooltip="WP-PR-1 Fit-out Waste" display="WP-PR-1 Fit-out Waste"/>
  </hyperlink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4A562A"/>
  </sheetPr>
  <dimension ref="A1:P170"/>
  <sheetViews>
    <sheetView showRowColHeaders="0" workbookViewId="0">
      <pane ySplit="8" topLeftCell="A9" activePane="bottomLeft" state="frozen"/>
      <selection activeCell="G91" sqref="G91"/>
      <selection pane="bottomLeft" activeCell="B15" sqref="B15:G15"/>
    </sheetView>
  </sheetViews>
  <sheetFormatPr defaultColWidth="0" defaultRowHeight="15" customHeight="1" zeroHeight="1" x14ac:dyDescent="0.25"/>
  <cols>
    <col min="1" max="1" width="5.7109375" style="37" customWidth="1"/>
    <col min="2" max="3" width="18.42578125" style="37" customWidth="1"/>
    <col min="4" max="4" width="17" style="37" customWidth="1"/>
    <col min="5" max="6" width="15.7109375" style="37" customWidth="1"/>
    <col min="7" max="7" width="16.7109375" style="37" customWidth="1"/>
    <col min="8" max="8" width="15.7109375" style="37" customWidth="1"/>
    <col min="9" max="9" width="17.140625" style="37" customWidth="1"/>
    <col min="10" max="10" width="16.7109375" style="37" customWidth="1"/>
    <col min="11" max="11" width="15.7109375" style="37" customWidth="1"/>
    <col min="12" max="13" width="4.7109375" style="37" customWidth="1"/>
    <col min="14" max="14" width="10.7109375" style="37" customWidth="1"/>
    <col min="15" max="16384" width="9.140625" style="37" hidden="1"/>
  </cols>
  <sheetData>
    <row r="1" spans="1:15" ht="24" customHeight="1" x14ac:dyDescent="0.25">
      <c r="A1" s="2016" t="s">
        <v>343</v>
      </c>
      <c r="B1" s="2016"/>
      <c r="C1" s="2016"/>
      <c r="D1" s="2016"/>
      <c r="E1" s="2016"/>
      <c r="F1" s="2016"/>
      <c r="G1" s="2016"/>
      <c r="H1" s="2016"/>
      <c r="I1" s="2016"/>
      <c r="J1" s="2016"/>
      <c r="K1" s="2016"/>
      <c r="L1" s="2016"/>
      <c r="M1" s="2016"/>
      <c r="N1" s="2016"/>
    </row>
    <row r="2" spans="1:15" ht="15" customHeight="1" x14ac:dyDescent="0.25">
      <c r="A2" s="48"/>
      <c r="B2" s="49"/>
      <c r="C2" s="49"/>
      <c r="D2" s="49"/>
      <c r="E2" s="49"/>
      <c r="F2" s="48"/>
      <c r="G2" s="175"/>
      <c r="H2" s="175"/>
      <c r="I2" s="175"/>
      <c r="J2" s="175"/>
      <c r="K2" s="1694" t="s">
        <v>352</v>
      </c>
      <c r="L2" s="1694"/>
      <c r="M2" s="1694"/>
      <c r="N2" s="1987" t="s">
        <v>1213</v>
      </c>
    </row>
    <row r="3" spans="1:15" ht="15" customHeight="1" x14ac:dyDescent="0.25">
      <c r="A3" s="48"/>
      <c r="B3" s="49"/>
      <c r="C3" s="49"/>
      <c r="D3" s="49"/>
      <c r="E3" s="49"/>
      <c r="F3" s="48"/>
      <c r="G3" s="175"/>
      <c r="H3" s="175"/>
      <c r="I3" s="175"/>
      <c r="J3" s="175"/>
      <c r="K3" s="1694"/>
      <c r="L3" s="1694"/>
      <c r="M3" s="1694"/>
      <c r="N3" s="1987"/>
    </row>
    <row r="4" spans="1:15" ht="15" customHeight="1" x14ac:dyDescent="0.25">
      <c r="A4" s="48"/>
      <c r="B4" s="49"/>
      <c r="C4" s="49"/>
      <c r="D4" s="49"/>
      <c r="E4" s="49"/>
      <c r="F4" s="48"/>
      <c r="G4" s="176"/>
      <c r="H4" s="176"/>
      <c r="I4" s="176"/>
      <c r="J4" s="176"/>
      <c r="K4" s="1695"/>
      <c r="L4" s="1695"/>
      <c r="M4" s="1695"/>
      <c r="N4" s="313" t="s">
        <v>310</v>
      </c>
    </row>
    <row r="5" spans="1:15" ht="18" customHeight="1" x14ac:dyDescent="0.25">
      <c r="A5" s="1704" t="s">
        <v>2830</v>
      </c>
      <c r="B5" s="1705"/>
      <c r="C5" s="1705"/>
      <c r="D5" s="1705"/>
      <c r="E5" s="1705"/>
      <c r="F5" s="1705"/>
      <c r="G5" s="1705"/>
      <c r="H5" s="1705"/>
      <c r="I5" s="1705"/>
      <c r="J5" s="1705"/>
      <c r="K5" s="1705"/>
      <c r="L5" s="1705"/>
      <c r="M5" s="1705"/>
      <c r="N5" s="1706"/>
    </row>
    <row r="6" spans="1:15" ht="18" customHeight="1" x14ac:dyDescent="0.25">
      <c r="A6" s="1707"/>
      <c r="B6" s="1708"/>
      <c r="C6" s="1708"/>
      <c r="D6" s="1708"/>
      <c r="E6" s="1708"/>
      <c r="F6" s="1708"/>
      <c r="G6" s="1708"/>
      <c r="H6" s="1708"/>
      <c r="I6" s="1708"/>
      <c r="J6" s="1708"/>
      <c r="K6" s="1708"/>
      <c r="L6" s="1708"/>
      <c r="M6" s="1708"/>
      <c r="N6" s="1709"/>
    </row>
    <row r="7" spans="1:15" ht="30.75" customHeight="1" x14ac:dyDescent="0.25">
      <c r="A7" s="1710"/>
      <c r="B7" s="1711"/>
      <c r="C7" s="1711"/>
      <c r="D7" s="1711"/>
      <c r="E7" s="1711"/>
      <c r="F7" s="1711"/>
      <c r="G7" s="1711"/>
      <c r="H7" s="1711"/>
      <c r="I7" s="1711"/>
      <c r="J7" s="1711"/>
      <c r="K7" s="1711"/>
      <c r="L7" s="1711"/>
      <c r="M7" s="1711"/>
      <c r="N7" s="1712"/>
    </row>
    <row r="8" spans="1:15" ht="12" customHeight="1" x14ac:dyDescent="0.25">
      <c r="A8" s="48"/>
      <c r="B8" s="49"/>
      <c r="C8" s="49"/>
      <c r="D8" s="49"/>
      <c r="E8" s="49"/>
      <c r="F8" s="48"/>
      <c r="G8" s="48"/>
      <c r="H8" s="48"/>
      <c r="I8" s="48"/>
      <c r="J8" s="48"/>
      <c r="K8" s="48"/>
      <c r="L8" s="48"/>
      <c r="M8" s="48"/>
      <c r="N8" s="48"/>
    </row>
    <row r="9" spans="1:15" ht="18" customHeight="1" x14ac:dyDescent="0.25">
      <c r="A9" s="2014" t="s">
        <v>95</v>
      </c>
      <c r="B9" s="2014"/>
      <c r="C9" s="2014"/>
      <c r="D9" s="2014"/>
      <c r="E9" s="2014"/>
      <c r="F9" s="2014"/>
      <c r="G9" s="2014"/>
      <c r="H9" s="2014"/>
      <c r="I9" s="2014"/>
      <c r="J9" s="2014"/>
      <c r="K9" s="2014"/>
      <c r="L9" s="2014"/>
      <c r="M9" s="2014"/>
      <c r="N9" s="2014"/>
    </row>
    <row r="10" spans="1:15" ht="14.25" customHeight="1" x14ac:dyDescent="0.25">
      <c r="A10" s="48"/>
      <c r="B10" s="49"/>
      <c r="C10" s="49"/>
      <c r="D10" s="49"/>
      <c r="E10" s="49"/>
      <c r="F10" s="49"/>
      <c r="G10" s="49"/>
      <c r="H10" s="49"/>
      <c r="I10" s="49"/>
      <c r="J10" s="49"/>
      <c r="K10" s="49"/>
      <c r="L10" s="48"/>
      <c r="M10" s="48"/>
      <c r="N10" s="48"/>
    </row>
    <row r="11" spans="1:15" ht="16.5" customHeight="1" x14ac:dyDescent="0.25">
      <c r="A11" s="48"/>
      <c r="B11" s="1806" t="s">
        <v>114</v>
      </c>
      <c r="C11" s="2004"/>
      <c r="D11" s="2005" t="s">
        <v>62</v>
      </c>
      <c r="E11" s="2005"/>
      <c r="F11" s="49"/>
      <c r="G11" s="49"/>
      <c r="H11" s="49"/>
      <c r="I11" s="49"/>
      <c r="J11" s="49"/>
      <c r="K11" s="49"/>
      <c r="L11" s="48"/>
      <c r="M11" s="48"/>
      <c r="N11" s="48"/>
    </row>
    <row r="12" spans="1:15" ht="14.25" customHeight="1" x14ac:dyDescent="0.25">
      <c r="A12" s="48"/>
      <c r="B12" s="49"/>
      <c r="C12" s="49"/>
      <c r="D12" s="49"/>
      <c r="E12" s="49"/>
      <c r="F12" s="49"/>
      <c r="G12" s="49"/>
      <c r="H12" s="49"/>
      <c r="I12" s="49"/>
      <c r="J12" s="49"/>
      <c r="K12" s="49"/>
      <c r="L12" s="48"/>
      <c r="M12" s="48"/>
      <c r="N12" s="48"/>
    </row>
    <row r="13" spans="1:15" ht="18" customHeight="1" x14ac:dyDescent="0.25">
      <c r="A13" s="48"/>
      <c r="B13" s="2025" t="s">
        <v>96</v>
      </c>
      <c r="C13" s="2026"/>
      <c r="D13" s="2026"/>
      <c r="E13" s="2026"/>
      <c r="F13" s="2026"/>
      <c r="G13" s="2026"/>
      <c r="H13" s="315" t="s">
        <v>75</v>
      </c>
      <c r="I13" s="315" t="s">
        <v>19</v>
      </c>
      <c r="J13" s="387" t="s">
        <v>151</v>
      </c>
      <c r="K13" s="48"/>
      <c r="L13" s="48"/>
      <c r="M13" s="48"/>
      <c r="N13" s="48"/>
    </row>
    <row r="14" spans="1:15" ht="30" customHeight="1" x14ac:dyDescent="0.25">
      <c r="A14" s="318"/>
      <c r="B14" s="2000" t="s">
        <v>2469</v>
      </c>
      <c r="C14" s="2000"/>
      <c r="D14" s="2000"/>
      <c r="E14" s="2000"/>
      <c r="F14" s="2000"/>
      <c r="G14" s="2000"/>
      <c r="H14" s="388">
        <v>1</v>
      </c>
      <c r="I14" s="279" t="str">
        <f>IF($D$11="Option A",C56,"/")</f>
        <v>/</v>
      </c>
      <c r="J14" s="279" t="str">
        <f>IF($D$11="Option A",C57,"/")</f>
        <v>/</v>
      </c>
      <c r="K14" s="48"/>
      <c r="L14" s="48"/>
      <c r="M14" s="48"/>
      <c r="N14" s="48"/>
    </row>
    <row r="15" spans="1:15" ht="34.5" customHeight="1" x14ac:dyDescent="0.25">
      <c r="A15" s="318"/>
      <c r="B15" s="2000" t="s">
        <v>524</v>
      </c>
      <c r="C15" s="2000"/>
      <c r="D15" s="2000"/>
      <c r="E15" s="2000"/>
      <c r="F15" s="2000"/>
      <c r="G15" s="2000"/>
      <c r="H15" s="386">
        <v>1</v>
      </c>
      <c r="I15" s="316" t="str">
        <f>IF($D$11="Option B",C113,"/")</f>
        <v>/</v>
      </c>
      <c r="J15" s="320" t="str">
        <f>IF($D$11="Option B",C114,"/")</f>
        <v>/</v>
      </c>
      <c r="K15" s="48"/>
      <c r="L15" s="48"/>
      <c r="M15" s="48"/>
      <c r="N15" s="48"/>
    </row>
    <row r="16" spans="1:15" ht="102" customHeight="1" x14ac:dyDescent="0.25">
      <c r="A16" s="318"/>
      <c r="B16" s="2000" t="s">
        <v>2587</v>
      </c>
      <c r="C16" s="2000"/>
      <c r="D16" s="2000"/>
      <c r="E16" s="2000"/>
      <c r="F16" s="2000"/>
      <c r="G16" s="2000"/>
      <c r="H16" s="386">
        <v>1</v>
      </c>
      <c r="I16" s="316" t="str">
        <f>IF($D$11="Option C",C163,"/")</f>
        <v>/</v>
      </c>
      <c r="J16" s="320" t="str">
        <f>IF($D$11="Option C",C164,"/")</f>
        <v>/</v>
      </c>
      <c r="K16" s="48"/>
      <c r="L16" s="48"/>
      <c r="M16" s="48"/>
      <c r="N16" s="48"/>
      <c r="O16" s="37">
        <f>IF(D11="Option A",I14,IF(D11="Option B",I15,IF(D11="Option C",I16,0)))</f>
        <v>0</v>
      </c>
    </row>
    <row r="17" spans="1:14" ht="16.5" customHeight="1" x14ac:dyDescent="0.25">
      <c r="A17" s="48"/>
      <c r="B17" s="49"/>
      <c r="C17" s="49"/>
      <c r="D17" s="49"/>
      <c r="E17" s="49"/>
      <c r="F17" s="49"/>
      <c r="G17" s="48"/>
      <c r="H17" s="48"/>
      <c r="I17" s="48"/>
      <c r="J17" s="48"/>
      <c r="K17" s="48"/>
      <c r="L17" s="48"/>
      <c r="M17" s="48"/>
      <c r="N17" s="48"/>
    </row>
    <row r="18" spans="1:14" ht="18" customHeight="1" x14ac:dyDescent="0.25">
      <c r="A18" s="2014" t="s">
        <v>1184</v>
      </c>
      <c r="B18" s="2014"/>
      <c r="C18" s="2014"/>
      <c r="D18" s="2014"/>
      <c r="E18" s="2014"/>
      <c r="F18" s="2014"/>
      <c r="G18" s="2014"/>
      <c r="H18" s="2014"/>
      <c r="I18" s="2014"/>
      <c r="J18" s="2014"/>
      <c r="K18" s="2014"/>
      <c r="L18" s="2014"/>
      <c r="M18" s="2014"/>
      <c r="N18" s="2014"/>
    </row>
    <row r="19" spans="1:14" ht="13.5" customHeight="1" x14ac:dyDescent="0.25">
      <c r="A19" s="48"/>
      <c r="B19" s="48"/>
      <c r="C19" s="48"/>
      <c r="D19" s="48"/>
      <c r="E19" s="48"/>
      <c r="F19" s="48"/>
      <c r="G19" s="48"/>
      <c r="H19" s="48"/>
      <c r="I19" s="48"/>
      <c r="J19" s="48"/>
      <c r="K19" s="48"/>
      <c r="L19" s="48"/>
      <c r="M19" s="48"/>
      <c r="N19" s="48"/>
    </row>
    <row r="20" spans="1:14" s="1160" customFormat="1" ht="16.5" customHeight="1" x14ac:dyDescent="0.25">
      <c r="A20" s="1159"/>
      <c r="B20" s="2030" t="s">
        <v>2146</v>
      </c>
      <c r="C20" s="2031"/>
      <c r="D20" s="2031"/>
      <c r="E20" s="2031"/>
      <c r="F20" s="2031"/>
      <c r="G20" s="2031"/>
      <c r="H20" s="2031"/>
      <c r="I20" s="2031"/>
      <c r="J20" s="2031"/>
      <c r="K20" s="2031"/>
      <c r="L20" s="2031"/>
      <c r="M20" s="2032"/>
      <c r="N20" s="1159"/>
    </row>
    <row r="21" spans="1:14" s="1160" customFormat="1" ht="16.5" customHeight="1" x14ac:dyDescent="0.25">
      <c r="A21" s="1159"/>
      <c r="B21" s="2033" t="s">
        <v>2147</v>
      </c>
      <c r="C21" s="1756"/>
      <c r="D21" s="1756"/>
      <c r="E21" s="1756"/>
      <c r="F21" s="1756"/>
      <c r="G21" s="1756"/>
      <c r="H21" s="1756"/>
      <c r="I21" s="1756"/>
      <c r="J21" s="1756"/>
      <c r="K21" s="1756"/>
      <c r="L21" s="1756"/>
      <c r="M21" s="2034"/>
      <c r="N21" s="1159"/>
    </row>
    <row r="22" spans="1:14" s="1160" customFormat="1" ht="16.5" customHeight="1" x14ac:dyDescent="0.25">
      <c r="A22" s="1159"/>
      <c r="B22" s="2033" t="s">
        <v>1098</v>
      </c>
      <c r="C22" s="1756"/>
      <c r="D22" s="1756"/>
      <c r="E22" s="1756"/>
      <c r="F22" s="1756"/>
      <c r="G22" s="1756"/>
      <c r="H22" s="1756"/>
      <c r="I22" s="1756"/>
      <c r="J22" s="1756"/>
      <c r="K22" s="1756"/>
      <c r="L22" s="1756"/>
      <c r="M22" s="2034"/>
      <c r="N22" s="1159"/>
    </row>
    <row r="23" spans="1:14" s="1160" customFormat="1" ht="16.5" customHeight="1" x14ac:dyDescent="0.25">
      <c r="A23" s="1159"/>
      <c r="B23" s="2033" t="s">
        <v>2148</v>
      </c>
      <c r="C23" s="1756"/>
      <c r="D23" s="1756"/>
      <c r="E23" s="1756"/>
      <c r="F23" s="1756"/>
      <c r="G23" s="1756"/>
      <c r="H23" s="1756"/>
      <c r="I23" s="1756"/>
      <c r="J23" s="1756"/>
      <c r="K23" s="1756"/>
      <c r="L23" s="1756"/>
      <c r="M23" s="2034"/>
      <c r="N23" s="1159"/>
    </row>
    <row r="24" spans="1:14" s="1160" customFormat="1" ht="16.5" customHeight="1" x14ac:dyDescent="0.25">
      <c r="A24" s="1159"/>
      <c r="B24" s="2035" t="s">
        <v>2149</v>
      </c>
      <c r="C24" s="2036"/>
      <c r="D24" s="2036"/>
      <c r="E24" s="2036"/>
      <c r="F24" s="2036"/>
      <c r="G24" s="2036"/>
      <c r="H24" s="2036"/>
      <c r="I24" s="2036"/>
      <c r="J24" s="2036"/>
      <c r="K24" s="2036"/>
      <c r="L24" s="2036"/>
      <c r="M24" s="2037"/>
      <c r="N24" s="1159"/>
    </row>
    <row r="25" spans="1:14" ht="15.75" customHeight="1" x14ac:dyDescent="0.25">
      <c r="A25" s="48"/>
      <c r="B25" s="390"/>
      <c r="C25" s="48"/>
      <c r="D25" s="48"/>
      <c r="E25" s="48"/>
      <c r="F25" s="48"/>
      <c r="G25" s="48"/>
      <c r="H25" s="48"/>
      <c r="I25" s="48"/>
      <c r="J25" s="48"/>
      <c r="K25" s="48"/>
      <c r="L25" s="48"/>
      <c r="M25" s="48"/>
      <c r="N25" s="48"/>
    </row>
    <row r="26" spans="1:14" ht="18" customHeight="1" x14ac:dyDescent="0.25">
      <c r="A26" s="2014" t="s">
        <v>526</v>
      </c>
      <c r="B26" s="2014"/>
      <c r="C26" s="2014"/>
      <c r="D26" s="2014"/>
      <c r="E26" s="2014"/>
      <c r="F26" s="2014"/>
      <c r="G26" s="2014"/>
      <c r="H26" s="2014"/>
      <c r="I26" s="2014"/>
      <c r="J26" s="2014"/>
      <c r="K26" s="2014"/>
      <c r="L26" s="2014"/>
      <c r="M26" s="2014"/>
      <c r="N26" s="2014"/>
    </row>
    <row r="27" spans="1:14" ht="15.75" customHeight="1" x14ac:dyDescent="0.25">
      <c r="A27" s="123"/>
      <c r="B27" s="391"/>
      <c r="C27" s="123"/>
      <c r="D27" s="123"/>
      <c r="E27" s="123"/>
      <c r="F27" s="123"/>
      <c r="G27" s="123"/>
      <c r="H27" s="123"/>
      <c r="I27" s="123"/>
      <c r="J27" s="123"/>
      <c r="K27" s="123"/>
      <c r="L27" s="123"/>
      <c r="M27" s="123"/>
      <c r="N27" s="123"/>
    </row>
    <row r="28" spans="1:14" ht="16.5" customHeight="1" x14ac:dyDescent="0.25">
      <c r="A28" s="1999" t="s">
        <v>117</v>
      </c>
      <c r="B28" s="1999"/>
      <c r="C28" s="1999"/>
      <c r="D28" s="123"/>
      <c r="E28" s="123"/>
      <c r="F28" s="123"/>
      <c r="G28" s="123"/>
      <c r="H28" s="123"/>
      <c r="I28" s="123"/>
      <c r="J28" s="123"/>
      <c r="K28" s="123"/>
      <c r="L28" s="123"/>
      <c r="M28" s="123"/>
      <c r="N28" s="123"/>
    </row>
    <row r="29" spans="1:14" ht="13.5" customHeight="1" x14ac:dyDescent="0.25">
      <c r="A29" s="123"/>
      <c r="B29" s="123"/>
      <c r="C29" s="123"/>
      <c r="D29" s="123"/>
      <c r="E29" s="123"/>
      <c r="F29" s="123"/>
      <c r="G29" s="123"/>
      <c r="H29" s="123"/>
      <c r="I29" s="123"/>
      <c r="J29" s="123"/>
      <c r="K29" s="123"/>
      <c r="L29" s="123"/>
      <c r="M29" s="123"/>
      <c r="N29" s="123"/>
    </row>
    <row r="30" spans="1:14" ht="15" customHeight="1" x14ac:dyDescent="0.25">
      <c r="A30" s="123"/>
      <c r="B30" s="1723" t="s">
        <v>1032</v>
      </c>
      <c r="C30" s="1724"/>
      <c r="D30" s="1724"/>
      <c r="E30" s="1724"/>
      <c r="F30" s="1724"/>
      <c r="G30" s="1724"/>
      <c r="H30" s="1724"/>
      <c r="I30" s="1724"/>
      <c r="J30" s="1724"/>
      <c r="K30" s="1725"/>
      <c r="L30" s="123"/>
      <c r="M30" s="123"/>
      <c r="N30" s="123"/>
    </row>
    <row r="31" spans="1:14" ht="15" customHeight="1" x14ac:dyDescent="0.25">
      <c r="A31" s="123"/>
      <c r="B31" s="1991" t="s">
        <v>2470</v>
      </c>
      <c r="C31" s="1992"/>
      <c r="D31" s="1992"/>
      <c r="E31" s="1992"/>
      <c r="F31" s="1992"/>
      <c r="G31" s="1992"/>
      <c r="H31" s="1992"/>
      <c r="I31" s="1992"/>
      <c r="J31" s="1992"/>
      <c r="K31" s="1993"/>
      <c r="L31" s="123"/>
      <c r="M31" s="123"/>
      <c r="N31" s="123"/>
    </row>
    <row r="32" spans="1:14" ht="15" customHeight="1" x14ac:dyDescent="0.3">
      <c r="A32" s="123"/>
      <c r="B32" s="1991" t="s">
        <v>1303</v>
      </c>
      <c r="C32" s="1992"/>
      <c r="D32" s="1992"/>
      <c r="E32" s="1992"/>
      <c r="F32" s="1992"/>
      <c r="G32" s="1992"/>
      <c r="H32" s="1992"/>
      <c r="I32" s="1992"/>
      <c r="J32" s="1992"/>
      <c r="K32" s="1993"/>
      <c r="L32" s="123"/>
      <c r="M32" s="123"/>
      <c r="N32" s="123"/>
    </row>
    <row r="33" spans="1:16" ht="15" customHeight="1" x14ac:dyDescent="0.25">
      <c r="A33" s="123"/>
      <c r="B33" s="1994" t="s">
        <v>1033</v>
      </c>
      <c r="C33" s="1995"/>
      <c r="D33" s="1995"/>
      <c r="E33" s="1995"/>
      <c r="F33" s="1995"/>
      <c r="G33" s="1995"/>
      <c r="H33" s="1995"/>
      <c r="I33" s="1995"/>
      <c r="J33" s="1995"/>
      <c r="K33" s="1996"/>
      <c r="L33" s="123"/>
      <c r="M33" s="123"/>
      <c r="N33" s="123"/>
    </row>
    <row r="34" spans="1:16" ht="13.5" customHeight="1" x14ac:dyDescent="0.25">
      <c r="A34" s="123"/>
      <c r="B34" s="654"/>
      <c r="C34" s="123"/>
      <c r="D34" s="123"/>
      <c r="E34" s="123"/>
      <c r="F34" s="123"/>
      <c r="G34" s="123"/>
      <c r="H34" s="123"/>
      <c r="I34" s="123"/>
      <c r="J34" s="123"/>
      <c r="K34" s="123"/>
      <c r="L34" s="123"/>
      <c r="M34" s="123"/>
      <c r="N34" s="123"/>
    </row>
    <row r="35" spans="1:16" ht="13.5" customHeight="1" x14ac:dyDescent="0.25">
      <c r="A35" s="123"/>
      <c r="B35" s="704" t="s">
        <v>1004</v>
      </c>
      <c r="C35" s="123"/>
      <c r="D35" s="123"/>
      <c r="E35" s="123"/>
      <c r="F35" s="123"/>
      <c r="G35" s="123"/>
      <c r="H35" s="123"/>
      <c r="I35" s="123"/>
      <c r="J35" s="123"/>
      <c r="K35" s="123"/>
      <c r="L35" s="123"/>
      <c r="M35" s="123"/>
      <c r="N35" s="123"/>
    </row>
    <row r="36" spans="1:16" ht="13.5" customHeight="1" x14ac:dyDescent="0.25">
      <c r="A36" s="123"/>
      <c r="B36" s="704"/>
      <c r="C36" s="123"/>
      <c r="D36" s="123"/>
      <c r="E36" s="123"/>
      <c r="F36" s="123"/>
      <c r="G36" s="123"/>
      <c r="H36" s="123"/>
      <c r="I36" s="123"/>
      <c r="J36" s="123"/>
      <c r="K36" s="123"/>
      <c r="L36" s="123"/>
      <c r="M36" s="123"/>
      <c r="N36" s="123"/>
    </row>
    <row r="37" spans="1:16" ht="19.5" customHeight="1" x14ac:dyDescent="0.25">
      <c r="A37" s="123"/>
      <c r="B37" s="2022" t="str">
        <f>IF('Project information'!$C$7="Full Certification stage","• Are some systems using refrigerants serving the interior project space?","•  Will some systems using refrigerants serve the interior project space?")</f>
        <v>•  Will some systems using refrigerants serve the interior project space?</v>
      </c>
      <c r="C37" s="2022"/>
      <c r="D37" s="2022"/>
      <c r="E37" s="2022"/>
      <c r="F37" s="299" t="s">
        <v>2</v>
      </c>
      <c r="G37" s="123"/>
      <c r="H37" s="123"/>
      <c r="I37" s="123"/>
      <c r="J37" s="123"/>
      <c r="K37" s="123"/>
      <c r="L37" s="123"/>
      <c r="M37" s="123"/>
      <c r="N37" s="123"/>
      <c r="O37" s="71"/>
      <c r="P37" s="71"/>
    </row>
    <row r="38" spans="1:16" ht="19.5" customHeight="1" x14ac:dyDescent="0.25">
      <c r="A38" s="123"/>
      <c r="B38" s="123" t="s">
        <v>1034</v>
      </c>
      <c r="C38" s="123"/>
      <c r="D38" s="123"/>
      <c r="E38" s="123"/>
      <c r="F38" s="123"/>
      <c r="G38" s="1044"/>
      <c r="H38" s="123"/>
      <c r="I38" s="123"/>
      <c r="J38" s="123"/>
      <c r="K38" s="123"/>
      <c r="L38" s="123"/>
      <c r="M38" s="123"/>
      <c r="N38" s="123"/>
      <c r="O38" s="71"/>
      <c r="P38" s="71"/>
    </row>
    <row r="39" spans="1:16" ht="19.5" customHeight="1" x14ac:dyDescent="0.25">
      <c r="A39" s="123"/>
      <c r="B39" s="2001" t="str">
        <f>IF('Project information'!$C$7="Full Certification stage","• Are there any CFC refrigerant or refrigerants with an ODP ≥ 0.05?","• Will there be any CFC refrigerant or refrigerants with an ODP ≥ 0.05?")</f>
        <v>• Will there be any CFC refrigerant or refrigerants with an ODP ≥ 0.05?</v>
      </c>
      <c r="C39" s="2002"/>
      <c r="D39" s="2002"/>
      <c r="E39" s="2003"/>
      <c r="F39" s="780" t="s">
        <v>62</v>
      </c>
      <c r="G39" s="123"/>
      <c r="H39" s="123"/>
      <c r="I39" s="123"/>
      <c r="J39" s="123"/>
      <c r="K39" s="123"/>
      <c r="L39" s="123"/>
      <c r="M39" s="123"/>
      <c r="N39" s="123"/>
      <c r="O39" s="71"/>
    </row>
    <row r="40" spans="1:16" ht="19.5" customHeight="1" x14ac:dyDescent="0.25">
      <c r="A40" s="123"/>
      <c r="B40" s="2001" t="str">
        <f>IF('Project information'!$C$7="Full Certification stage","• Are there only refrigerants with an ODP of 0 and a GWP100 ≤ 50?","• Will there be only refrigerants with an ODP of 0 and a GWP100 ≤ 50?")</f>
        <v>• Will there be only refrigerants with an ODP of 0 and a GWP100 ≤ 50?</v>
      </c>
      <c r="C40" s="2002"/>
      <c r="D40" s="2002"/>
      <c r="E40" s="2003"/>
      <c r="F40" s="780" t="s">
        <v>62</v>
      </c>
      <c r="G40" s="2023" t="s">
        <v>276</v>
      </c>
      <c r="H40" s="2024"/>
      <c r="I40" s="1682"/>
      <c r="J40" s="1683"/>
      <c r="K40" s="123"/>
      <c r="L40" s="123"/>
      <c r="M40" s="123"/>
      <c r="N40" s="123"/>
      <c r="O40" s="71"/>
    </row>
    <row r="41" spans="1:16" ht="19.5" customHeight="1" x14ac:dyDescent="0.25">
      <c r="A41" s="123"/>
      <c r="B41" s="2001" t="str">
        <f>IF('Project information'!$C$7="Full Certification stage","• Are there only systems using less than 250 grams of refrigerant?","• Will there be only systems using less than 250 grams of refrigerant?")</f>
        <v>• Will there be only systems using less than 250 grams of refrigerant?</v>
      </c>
      <c r="C41" s="2002"/>
      <c r="D41" s="2002"/>
      <c r="E41" s="2003"/>
      <c r="F41" s="780" t="s">
        <v>62</v>
      </c>
      <c r="G41" s="123"/>
      <c r="H41" s="123"/>
      <c r="I41" s="123"/>
      <c r="J41" s="123"/>
      <c r="K41" s="123"/>
      <c r="L41" s="123"/>
      <c r="M41" s="123"/>
      <c r="N41" s="123"/>
      <c r="O41" s="71"/>
    </row>
    <row r="42" spans="1:16" x14ac:dyDescent="0.25">
      <c r="A42" s="123"/>
      <c r="B42" s="127"/>
      <c r="C42" s="127"/>
      <c r="D42" s="127"/>
      <c r="E42" s="127"/>
      <c r="F42" s="123"/>
      <c r="G42" s="123"/>
      <c r="H42" s="123"/>
      <c r="I42" s="123"/>
      <c r="J42" s="123"/>
      <c r="K42" s="123"/>
      <c r="L42" s="123"/>
      <c r="M42" s="392"/>
      <c r="N42" s="392"/>
    </row>
    <row r="43" spans="1:16" ht="18" customHeight="1" x14ac:dyDescent="0.25">
      <c r="A43" s="123"/>
      <c r="B43" s="389" t="s">
        <v>89</v>
      </c>
      <c r="C43" s="244" t="str">
        <f>IF(F37="No","Yes",IF(F39="Yes","No",IF(AND(F39="No",OR(AND(I40&lt;&gt;"",F40="Yes"),F41="Yes")),"Yes","No")))</f>
        <v>Yes</v>
      </c>
      <c r="D43" s="127"/>
      <c r="E43" s="127"/>
      <c r="F43" s="123"/>
      <c r="G43" s="123"/>
      <c r="H43" s="123"/>
      <c r="I43" s="123"/>
      <c r="J43" s="123"/>
      <c r="K43" s="123"/>
      <c r="L43" s="123"/>
      <c r="M43" s="392"/>
      <c r="N43" s="392"/>
    </row>
    <row r="44" spans="1:16" ht="19.5" customHeight="1" x14ac:dyDescent="0.25">
      <c r="A44" s="123"/>
      <c r="B44" s="127"/>
      <c r="C44" s="127"/>
      <c r="D44" s="127"/>
      <c r="E44" s="127"/>
      <c r="F44" s="123"/>
      <c r="G44" s="123"/>
      <c r="H44" s="123"/>
      <c r="I44" s="123"/>
      <c r="J44" s="123"/>
      <c r="K44" s="123"/>
      <c r="L44" s="123"/>
      <c r="M44" s="392"/>
      <c r="N44" s="392"/>
    </row>
    <row r="45" spans="1:16" ht="16.5" customHeight="1" x14ac:dyDescent="0.25">
      <c r="A45" s="1999" t="s">
        <v>97</v>
      </c>
      <c r="B45" s="1999"/>
      <c r="C45" s="1999"/>
      <c r="D45" s="123"/>
      <c r="E45" s="123"/>
      <c r="F45" s="123"/>
      <c r="G45" s="123"/>
      <c r="H45" s="123"/>
      <c r="I45" s="123"/>
      <c r="J45" s="123"/>
      <c r="K45" s="123"/>
      <c r="L45" s="123"/>
      <c r="M45" s="123"/>
      <c r="N45" s="123"/>
    </row>
    <row r="46" spans="1:16" x14ac:dyDescent="0.25">
      <c r="A46" s="123"/>
      <c r="B46" s="808"/>
      <c r="C46" s="808"/>
      <c r="D46" s="808"/>
      <c r="E46" s="808"/>
      <c r="F46" s="808"/>
      <c r="G46" s="808"/>
      <c r="H46" s="123"/>
      <c r="I46" s="123"/>
      <c r="J46" s="123"/>
      <c r="K46" s="123"/>
      <c r="L46" s="123"/>
      <c r="M46" s="392"/>
      <c r="N46" s="392"/>
    </row>
    <row r="47" spans="1:16" ht="21" customHeight="1" x14ac:dyDescent="0.25">
      <c r="A47" s="123"/>
      <c r="B47" s="2017" t="s">
        <v>2476</v>
      </c>
      <c r="C47" s="2018"/>
      <c r="D47" s="2018"/>
      <c r="E47" s="2018"/>
      <c r="F47" s="2018"/>
      <c r="G47" s="2018"/>
      <c r="H47" s="787" t="s">
        <v>1297</v>
      </c>
      <c r="I47" s="1997" t="s">
        <v>1298</v>
      </c>
      <c r="J47" s="1998"/>
      <c r="K47" s="123"/>
      <c r="L47" s="123"/>
      <c r="M47" s="123"/>
      <c r="N47" s="123"/>
    </row>
    <row r="48" spans="1:16" ht="30" customHeight="1" x14ac:dyDescent="0.25">
      <c r="A48" s="123"/>
      <c r="B48" s="1644" t="str">
        <f>Submittals!H58</f>
        <v>Select the Submission Stage in Project Information</v>
      </c>
      <c r="C48" s="1645"/>
      <c r="D48" s="1645"/>
      <c r="E48" s="1645"/>
      <c r="F48" s="1645"/>
      <c r="G48" s="1646"/>
      <c r="H48" s="1259" t="s">
        <v>62</v>
      </c>
      <c r="I48" s="1625"/>
      <c r="J48" s="1626"/>
      <c r="K48" s="123"/>
      <c r="L48" s="123"/>
      <c r="M48" s="123"/>
      <c r="N48" s="123"/>
      <c r="O48" s="37" t="str">
        <f>IF(OR(B48="/",B48="No evidence required at this submission stage"),"Yes",IF(OR(H48="Already approved at PC",H48="Submitted"),"Yes","No"))</f>
        <v>No</v>
      </c>
    </row>
    <row r="49" spans="1:15" x14ac:dyDescent="0.25">
      <c r="A49" s="123"/>
      <c r="B49" s="808"/>
      <c r="C49" s="808"/>
      <c r="D49" s="808"/>
      <c r="E49" s="808"/>
      <c r="F49" s="808"/>
      <c r="G49" s="808"/>
      <c r="H49" s="123"/>
      <c r="I49" s="123"/>
      <c r="J49" s="123"/>
      <c r="K49" s="123"/>
      <c r="L49" s="123"/>
      <c r="M49" s="392"/>
      <c r="N49" s="392"/>
    </row>
    <row r="50" spans="1:15" ht="21" customHeight="1" x14ac:dyDescent="0.25">
      <c r="A50" s="123"/>
      <c r="B50" s="2017" t="s">
        <v>2477</v>
      </c>
      <c r="C50" s="2018"/>
      <c r="D50" s="2018"/>
      <c r="E50" s="2018"/>
      <c r="F50" s="2018"/>
      <c r="G50" s="2018"/>
      <c r="H50" s="1261" t="s">
        <v>1297</v>
      </c>
      <c r="I50" s="1997" t="s">
        <v>1298</v>
      </c>
      <c r="J50" s="1998"/>
      <c r="K50" s="123"/>
      <c r="L50" s="123"/>
      <c r="M50" s="123"/>
      <c r="N50" s="123"/>
    </row>
    <row r="51" spans="1:15" ht="27" customHeight="1" x14ac:dyDescent="0.25">
      <c r="A51" s="123"/>
      <c r="B51" s="1644" t="str">
        <f>Submittals!H59</f>
        <v>Select the Submission Stage in Project Information</v>
      </c>
      <c r="C51" s="1645"/>
      <c r="D51" s="1645"/>
      <c r="E51" s="1645"/>
      <c r="F51" s="1645"/>
      <c r="G51" s="1646"/>
      <c r="H51" s="1259" t="s">
        <v>62</v>
      </c>
      <c r="I51" s="1625"/>
      <c r="J51" s="1626"/>
      <c r="K51" s="123"/>
      <c r="L51" s="123"/>
      <c r="M51" s="123"/>
      <c r="N51" s="123"/>
      <c r="O51" s="37" t="str">
        <f>IF(OR(F37="No",B51="/",B51="No evidence required at this submission stage"),"Yes",IF(H51="Submitted","Yes","No"))</f>
        <v>Yes</v>
      </c>
    </row>
    <row r="52" spans="1:15" ht="30" customHeight="1" x14ac:dyDescent="0.25">
      <c r="A52" s="123"/>
      <c r="B52" s="1644" t="str">
        <f>Submittals!H60</f>
        <v>Select the Submission Stage in Project Information</v>
      </c>
      <c r="C52" s="1645"/>
      <c r="D52" s="1645"/>
      <c r="E52" s="1645"/>
      <c r="F52" s="1645"/>
      <c r="G52" s="1646"/>
      <c r="H52" s="780" t="s">
        <v>62</v>
      </c>
      <c r="I52" s="1625"/>
      <c r="J52" s="1626"/>
      <c r="K52" s="123"/>
      <c r="L52" s="123"/>
      <c r="M52" s="123"/>
      <c r="N52" s="123"/>
      <c r="O52" s="37" t="str">
        <f>IF(OR(F37="No",B52="/",B52="No evidence required at this submission stage"),"Yes",IF(H52="Submitted","Yes","No"))</f>
        <v>Yes</v>
      </c>
    </row>
    <row r="53" spans="1:15" ht="18.75" customHeight="1" x14ac:dyDescent="0.25">
      <c r="A53" s="123"/>
      <c r="B53" s="127"/>
      <c r="C53" s="127"/>
      <c r="D53" s="127"/>
      <c r="E53" s="127"/>
      <c r="F53" s="123"/>
      <c r="G53" s="123"/>
      <c r="H53" s="123"/>
      <c r="I53" s="123"/>
      <c r="J53" s="123"/>
      <c r="K53" s="123"/>
      <c r="L53" s="123"/>
      <c r="M53" s="392"/>
      <c r="N53" s="392"/>
    </row>
    <row r="54" spans="1:15" ht="16.5" customHeight="1" x14ac:dyDescent="0.25">
      <c r="A54" s="1999" t="s">
        <v>8</v>
      </c>
      <c r="B54" s="1999"/>
      <c r="C54" s="1999"/>
      <c r="D54" s="123"/>
      <c r="E54" s="123"/>
      <c r="F54" s="123"/>
      <c r="G54" s="123"/>
      <c r="H54" s="123"/>
      <c r="I54" s="123"/>
      <c r="J54" s="123"/>
      <c r="K54" s="123"/>
      <c r="L54" s="123"/>
      <c r="M54" s="123"/>
      <c r="N54" s="123"/>
    </row>
    <row r="55" spans="1:15" x14ac:dyDescent="0.25">
      <c r="A55" s="123"/>
      <c r="B55" s="127"/>
      <c r="C55" s="127"/>
      <c r="D55" s="127"/>
      <c r="E55" s="127"/>
      <c r="F55" s="123"/>
      <c r="G55" s="123"/>
      <c r="H55" s="123"/>
      <c r="I55" s="123"/>
      <c r="J55" s="123"/>
      <c r="K55" s="123"/>
      <c r="L55" s="123"/>
      <c r="M55" s="123"/>
      <c r="N55" s="123"/>
    </row>
    <row r="56" spans="1:15" ht="18" customHeight="1" x14ac:dyDescent="0.25">
      <c r="A56" s="123"/>
      <c r="B56" s="385" t="s">
        <v>19</v>
      </c>
      <c r="C56" s="8">
        <f>IF(C43="Yes",1,0)</f>
        <v>1</v>
      </c>
      <c r="D56" s="127"/>
      <c r="E56" s="123"/>
      <c r="F56" s="123"/>
      <c r="G56" s="123"/>
      <c r="H56" s="123"/>
      <c r="I56" s="123"/>
      <c r="J56" s="123"/>
      <c r="K56" s="123"/>
      <c r="L56" s="123"/>
      <c r="M56" s="123"/>
      <c r="N56" s="123"/>
    </row>
    <row r="57" spans="1:15" ht="18" customHeight="1" x14ac:dyDescent="0.25">
      <c r="A57" s="123"/>
      <c r="B57" s="385" t="s">
        <v>151</v>
      </c>
      <c r="C57" s="116" t="str">
        <f>IF(AND(COUNTIF(O48:O52,"Yes")=3,C56&gt;0),"Yes","No")</f>
        <v>No</v>
      </c>
      <c r="D57" s="127"/>
      <c r="E57" s="123"/>
      <c r="F57" s="123"/>
      <c r="G57" s="123"/>
      <c r="H57" s="123"/>
      <c r="I57" s="123"/>
      <c r="J57" s="123"/>
      <c r="K57" s="123"/>
      <c r="L57" s="123"/>
      <c r="M57" s="123"/>
      <c r="N57" s="123"/>
    </row>
    <row r="58" spans="1:15" ht="21" customHeight="1" x14ac:dyDescent="0.25">
      <c r="A58" s="123"/>
      <c r="B58" s="127"/>
      <c r="C58" s="127"/>
      <c r="D58" s="127"/>
      <c r="E58" s="127"/>
      <c r="F58" s="123"/>
      <c r="G58" s="123"/>
      <c r="H58" s="123"/>
      <c r="I58" s="123"/>
      <c r="J58" s="123"/>
      <c r="K58" s="123"/>
      <c r="L58" s="123"/>
      <c r="M58" s="123"/>
      <c r="N58" s="123"/>
    </row>
    <row r="59" spans="1:15" ht="18" customHeight="1" x14ac:dyDescent="0.25">
      <c r="A59" s="2014" t="s">
        <v>527</v>
      </c>
      <c r="B59" s="2014"/>
      <c r="C59" s="2014"/>
      <c r="D59" s="2014"/>
      <c r="E59" s="2014"/>
      <c r="F59" s="2014"/>
      <c r="G59" s="2014"/>
      <c r="H59" s="2014"/>
      <c r="I59" s="2014"/>
      <c r="J59" s="2014"/>
      <c r="K59" s="2014"/>
      <c r="L59" s="2014"/>
      <c r="M59" s="2014"/>
      <c r="N59" s="2014"/>
    </row>
    <row r="60" spans="1:15" ht="15.75" customHeight="1" x14ac:dyDescent="0.25">
      <c r="A60" s="48"/>
      <c r="B60" s="390"/>
      <c r="C60" s="48"/>
      <c r="D60" s="48"/>
      <c r="E60" s="48"/>
      <c r="F60" s="48"/>
      <c r="G60" s="48"/>
      <c r="H60" s="48"/>
      <c r="I60" s="48"/>
      <c r="J60" s="48"/>
      <c r="K60" s="48"/>
      <c r="L60" s="48"/>
      <c r="M60" s="48"/>
      <c r="N60" s="48"/>
    </row>
    <row r="61" spans="1:15" ht="16.5" customHeight="1" x14ac:dyDescent="0.25">
      <c r="A61" s="1999" t="s">
        <v>117</v>
      </c>
      <c r="B61" s="1999"/>
      <c r="C61" s="1999"/>
      <c r="D61" s="48"/>
      <c r="E61" s="48"/>
      <c r="F61" s="48"/>
      <c r="G61" s="48"/>
      <c r="H61" s="48"/>
      <c r="I61" s="48"/>
      <c r="J61" s="48"/>
      <c r="K61" s="48"/>
      <c r="L61" s="48"/>
      <c r="M61" s="48"/>
      <c r="N61" s="48"/>
    </row>
    <row r="62" spans="1:15" ht="13.5" customHeight="1" x14ac:dyDescent="0.25">
      <c r="A62" s="48"/>
      <c r="B62" s="48"/>
      <c r="C62" s="48"/>
      <c r="D62" s="48"/>
      <c r="E62" s="48"/>
      <c r="F62" s="48"/>
      <c r="G62" s="48"/>
      <c r="H62" s="48"/>
      <c r="I62" s="48"/>
      <c r="J62" s="48"/>
      <c r="K62" s="48"/>
      <c r="L62" s="48"/>
      <c r="M62" s="48"/>
      <c r="N62" s="48"/>
    </row>
    <row r="63" spans="1:15" ht="15" customHeight="1" x14ac:dyDescent="0.25">
      <c r="A63" s="48"/>
      <c r="B63" s="1036" t="s">
        <v>974</v>
      </c>
      <c r="C63" s="48"/>
      <c r="D63" s="48"/>
      <c r="E63" s="48"/>
      <c r="F63" s="48"/>
      <c r="G63" s="48"/>
      <c r="H63" s="48"/>
      <c r="I63" s="48"/>
      <c r="J63" s="48"/>
      <c r="K63" s="48"/>
      <c r="L63" s="48"/>
      <c r="M63" s="48"/>
      <c r="N63" s="48"/>
    </row>
    <row r="64" spans="1:15" x14ac:dyDescent="0.25">
      <c r="A64" s="48"/>
      <c r="B64" s="48"/>
      <c r="C64" s="48"/>
      <c r="D64" s="48"/>
      <c r="E64" s="48"/>
      <c r="F64" s="48"/>
      <c r="G64" s="48"/>
      <c r="H64" s="48"/>
      <c r="I64" s="48"/>
      <c r="J64" s="48"/>
      <c r="K64" s="48"/>
      <c r="L64" s="48"/>
      <c r="M64" s="48"/>
      <c r="N64" s="48"/>
    </row>
    <row r="65" spans="1:14" ht="13.5" customHeight="1" x14ac:dyDescent="0.25">
      <c r="A65" s="48"/>
      <c r="B65" s="597" t="s">
        <v>980</v>
      </c>
      <c r="C65" s="48"/>
      <c r="D65" s="48"/>
      <c r="E65" s="48"/>
      <c r="F65" s="48"/>
      <c r="G65" s="48"/>
      <c r="H65" s="48"/>
      <c r="I65" s="48"/>
      <c r="J65" s="48"/>
      <c r="K65" s="48"/>
      <c r="L65" s="48"/>
      <c r="M65" s="48"/>
      <c r="N65" s="48"/>
    </row>
    <row r="66" spans="1:14" ht="13.5" customHeight="1" x14ac:dyDescent="0.25">
      <c r="A66" s="48"/>
      <c r="B66" s="597" t="s">
        <v>979</v>
      </c>
      <c r="C66" s="48"/>
      <c r="D66" s="48"/>
      <c r="E66" s="48"/>
      <c r="F66" s="48"/>
      <c r="G66" s="48"/>
      <c r="H66" s="48"/>
      <c r="I66" s="48"/>
      <c r="J66" s="48"/>
      <c r="K66" s="48"/>
      <c r="L66" s="48"/>
      <c r="M66" s="48"/>
      <c r="N66" s="48"/>
    </row>
    <row r="67" spans="1:14" ht="13.5" customHeight="1" x14ac:dyDescent="0.25">
      <c r="A67" s="48"/>
      <c r="B67" s="48"/>
      <c r="C67" s="48"/>
      <c r="D67" s="48"/>
      <c r="E67" s="48"/>
      <c r="F67" s="48"/>
      <c r="G67" s="48"/>
      <c r="H67" s="48"/>
      <c r="I67" s="48"/>
      <c r="J67" s="48"/>
      <c r="K67" s="48"/>
      <c r="L67" s="48"/>
      <c r="M67" s="48"/>
      <c r="N67" s="48"/>
    </row>
    <row r="68" spans="1:14" ht="17.25" customHeight="1" x14ac:dyDescent="0.25">
      <c r="A68" s="48"/>
      <c r="B68" s="2019" t="str">
        <f>IF('Project information'!$C$7="Full Certification stage","Does the project include commercial refrigeration systems ?","Will the project include commercial refrigeration systems ?")</f>
        <v>Will the project include commercial refrigeration systems ?</v>
      </c>
      <c r="C68" s="1997"/>
      <c r="D68" s="1997"/>
      <c r="E68" s="1998"/>
      <c r="F68" s="565" t="s">
        <v>62</v>
      </c>
      <c r="G68" s="405"/>
      <c r="H68" s="48"/>
      <c r="I68" s="48"/>
      <c r="J68" s="48"/>
      <c r="K68" s="48"/>
      <c r="L68" s="48"/>
      <c r="M68" s="48"/>
      <c r="N68" s="48"/>
    </row>
    <row r="69" spans="1:14" ht="10.5" customHeight="1" x14ac:dyDescent="0.25">
      <c r="A69" s="48"/>
      <c r="B69" s="48"/>
      <c r="C69" s="48"/>
      <c r="D69" s="48"/>
      <c r="E69" s="48"/>
      <c r="F69" s="48"/>
      <c r="G69" s="48"/>
      <c r="H69" s="48"/>
      <c r="I69" s="48"/>
      <c r="J69" s="48"/>
      <c r="K69" s="48"/>
      <c r="L69" s="48"/>
      <c r="M69" s="48"/>
      <c r="N69" s="48"/>
    </row>
    <row r="70" spans="1:14" ht="15" customHeight="1" x14ac:dyDescent="0.25">
      <c r="A70" s="48"/>
      <c r="B70" s="1766" t="s">
        <v>586</v>
      </c>
      <c r="C70" s="1767"/>
      <c r="D70" s="1767"/>
      <c r="E70" s="1767"/>
      <c r="F70" s="1767"/>
      <c r="G70" s="1767"/>
      <c r="H70" s="1767"/>
      <c r="I70" s="1767"/>
      <c r="J70" s="1768"/>
      <c r="K70" s="48"/>
      <c r="L70" s="48"/>
      <c r="M70" s="48"/>
      <c r="N70" s="48"/>
    </row>
    <row r="71" spans="1:14" ht="15" customHeight="1" x14ac:dyDescent="0.25">
      <c r="A71" s="48"/>
      <c r="B71" s="1808" t="s">
        <v>557</v>
      </c>
      <c r="C71" s="1809"/>
      <c r="D71" s="1809"/>
      <c r="E71" s="1809"/>
      <c r="F71" s="1809"/>
      <c r="G71" s="1809"/>
      <c r="H71" s="1809"/>
      <c r="I71" s="1809"/>
      <c r="J71" s="1810"/>
      <c r="K71" s="48"/>
      <c r="L71" s="48"/>
      <c r="M71" s="48"/>
      <c r="N71" s="48"/>
    </row>
    <row r="72" spans="1:14" ht="15" customHeight="1" x14ac:dyDescent="0.25">
      <c r="A72" s="48"/>
      <c r="B72" s="1808" t="s">
        <v>555</v>
      </c>
      <c r="C72" s="1809"/>
      <c r="D72" s="1809"/>
      <c r="E72" s="1809"/>
      <c r="F72" s="1809"/>
      <c r="G72" s="1809"/>
      <c r="H72" s="1809"/>
      <c r="I72" s="1809"/>
      <c r="J72" s="1810"/>
      <c r="K72" s="48"/>
      <c r="L72" s="48"/>
      <c r="M72" s="48"/>
      <c r="N72" s="48"/>
    </row>
    <row r="73" spans="1:14" ht="15" customHeight="1" x14ac:dyDescent="0.25">
      <c r="A73" s="48"/>
      <c r="B73" s="1811" t="s">
        <v>556</v>
      </c>
      <c r="C73" s="1812"/>
      <c r="D73" s="1812"/>
      <c r="E73" s="1812"/>
      <c r="F73" s="1812"/>
      <c r="G73" s="1812"/>
      <c r="H73" s="1812"/>
      <c r="I73" s="1812"/>
      <c r="J73" s="1813"/>
      <c r="K73" s="48"/>
      <c r="L73" s="48"/>
      <c r="M73" s="48"/>
      <c r="N73" s="48"/>
    </row>
    <row r="74" spans="1:14" ht="19.5" customHeight="1" x14ac:dyDescent="0.25">
      <c r="A74" s="48"/>
      <c r="B74" s="48"/>
      <c r="C74" s="48"/>
      <c r="D74" s="48"/>
      <c r="E74" s="48"/>
      <c r="F74" s="48"/>
      <c r="G74" s="48"/>
      <c r="H74" s="48"/>
      <c r="I74" s="48"/>
      <c r="J74" s="48"/>
      <c r="K74" s="48"/>
      <c r="L74" s="48"/>
      <c r="M74" s="48"/>
      <c r="N74" s="48"/>
    </row>
    <row r="75" spans="1:14" ht="16.5" customHeight="1" x14ac:dyDescent="0.25">
      <c r="A75" s="1999" t="s">
        <v>1252</v>
      </c>
      <c r="B75" s="1999"/>
      <c r="C75" s="1999"/>
      <c r="D75" s="48"/>
      <c r="E75" s="48"/>
      <c r="F75" s="48"/>
      <c r="G75" s="48"/>
      <c r="H75" s="48"/>
      <c r="I75" s="48"/>
      <c r="J75" s="48"/>
      <c r="K75" s="48"/>
      <c r="L75" s="48"/>
      <c r="M75" s="48"/>
      <c r="N75" s="48"/>
    </row>
    <row r="76" spans="1:14" ht="13.5" customHeight="1" x14ac:dyDescent="0.25">
      <c r="A76" s="48"/>
      <c r="B76" s="48"/>
      <c r="C76" s="48"/>
      <c r="D76" s="48"/>
      <c r="E76" s="48"/>
      <c r="F76" s="48"/>
      <c r="G76" s="48"/>
      <c r="H76" s="48"/>
      <c r="I76" s="48"/>
      <c r="J76" s="48"/>
      <c r="K76" s="48"/>
      <c r="L76" s="48"/>
      <c r="M76" s="48"/>
      <c r="N76" s="48"/>
    </row>
    <row r="77" spans="1:14" ht="13.5" customHeight="1" x14ac:dyDescent="0.25">
      <c r="A77" s="48"/>
      <c r="B77" s="703" t="s">
        <v>1820</v>
      </c>
      <c r="C77" s="48"/>
      <c r="D77" s="48"/>
      <c r="E77" s="48"/>
      <c r="F77" s="48"/>
      <c r="G77" s="48"/>
      <c r="H77" s="48"/>
      <c r="I77" s="48"/>
      <c r="J77" s="48"/>
      <c r="K77" s="48"/>
      <c r="L77" s="48"/>
      <c r="M77" s="48"/>
      <c r="N77" s="48"/>
    </row>
    <row r="78" spans="1:14" ht="13.5" customHeight="1" x14ac:dyDescent="0.25">
      <c r="A78" s="48"/>
      <c r="B78" s="394"/>
      <c r="C78" s="48"/>
      <c r="D78" s="48"/>
      <c r="E78" s="48"/>
      <c r="F78" s="48"/>
      <c r="G78" s="48"/>
      <c r="H78" s="48"/>
      <c r="I78" s="48"/>
      <c r="J78" s="48"/>
      <c r="K78" s="48"/>
      <c r="L78" s="48"/>
      <c r="M78" s="48"/>
      <c r="N78" s="48"/>
    </row>
    <row r="79" spans="1:14" ht="15" customHeight="1" x14ac:dyDescent="0.3">
      <c r="A79" s="48"/>
      <c r="B79" s="48" t="s">
        <v>1309</v>
      </c>
      <c r="C79" s="48"/>
      <c r="D79" s="48"/>
      <c r="E79" s="48"/>
      <c r="F79" s="48"/>
      <c r="G79" s="48"/>
      <c r="H79" s="48"/>
      <c r="I79" s="48"/>
      <c r="J79" s="48"/>
      <c r="K79" s="48"/>
      <c r="L79" s="48"/>
      <c r="M79" s="48"/>
      <c r="N79" s="48"/>
    </row>
    <row r="80" spans="1:14" ht="15" customHeight="1" x14ac:dyDescent="0.25">
      <c r="A80" s="48"/>
      <c r="B80" s="48" t="s">
        <v>1304</v>
      </c>
      <c r="C80" s="48"/>
      <c r="D80" s="48"/>
      <c r="E80" s="48"/>
      <c r="F80" s="48"/>
      <c r="G80" s="48"/>
      <c r="H80" s="48"/>
      <c r="I80" s="48"/>
      <c r="J80" s="48"/>
      <c r="K80" s="48"/>
      <c r="L80" s="48"/>
      <c r="M80" s="48"/>
      <c r="N80" s="48"/>
    </row>
    <row r="81" spans="1:14" ht="15" customHeight="1" x14ac:dyDescent="0.25">
      <c r="A81" s="48"/>
      <c r="B81" s="48" t="s">
        <v>1305</v>
      </c>
      <c r="C81" s="48"/>
      <c r="D81" s="48"/>
      <c r="E81" s="48"/>
      <c r="F81" s="48"/>
      <c r="G81" s="48"/>
      <c r="H81" s="48"/>
      <c r="I81" s="48"/>
      <c r="J81" s="48"/>
      <c r="K81" s="48"/>
      <c r="L81" s="48"/>
      <c r="M81" s="48"/>
      <c r="N81" s="48"/>
    </row>
    <row r="82" spans="1:14" ht="15" customHeight="1" x14ac:dyDescent="0.25">
      <c r="A82" s="48"/>
      <c r="B82" s="48" t="s">
        <v>1306</v>
      </c>
      <c r="C82" s="48"/>
      <c r="D82" s="48"/>
      <c r="E82" s="48"/>
      <c r="F82" s="48"/>
      <c r="G82" s="48"/>
      <c r="H82" s="48"/>
      <c r="I82" s="48"/>
      <c r="J82" s="48"/>
      <c r="K82" s="48"/>
      <c r="L82" s="48"/>
      <c r="M82" s="48"/>
      <c r="N82" s="48"/>
    </row>
    <row r="83" spans="1:14" ht="15" customHeight="1" x14ac:dyDescent="0.25">
      <c r="A83" s="48"/>
      <c r="B83" s="48" t="s">
        <v>1307</v>
      </c>
      <c r="C83" s="48"/>
      <c r="D83" s="48"/>
      <c r="E83" s="48"/>
      <c r="F83" s="48"/>
      <c r="G83" s="48"/>
      <c r="H83" s="48"/>
      <c r="I83" s="48"/>
      <c r="J83" s="48"/>
      <c r="K83" s="48"/>
      <c r="L83" s="48"/>
      <c r="M83" s="48"/>
      <c r="N83" s="48"/>
    </row>
    <row r="84" spans="1:14" ht="15" customHeight="1" x14ac:dyDescent="0.25">
      <c r="A84" s="48"/>
      <c r="B84" s="48" t="s">
        <v>1308</v>
      </c>
      <c r="C84" s="48"/>
      <c r="D84" s="48"/>
      <c r="E84" s="48"/>
      <c r="F84" s="48"/>
      <c r="G84" s="48"/>
      <c r="H84" s="48"/>
      <c r="I84" s="48"/>
      <c r="J84" s="48"/>
      <c r="K84" s="48"/>
      <c r="L84" s="48"/>
      <c r="M84" s="48"/>
      <c r="N84" s="48"/>
    </row>
    <row r="85" spans="1:14" ht="13.5" customHeight="1" x14ac:dyDescent="0.25">
      <c r="A85" s="48"/>
      <c r="B85" s="48"/>
      <c r="C85" s="48"/>
      <c r="D85" s="48"/>
      <c r="E85" s="48"/>
      <c r="F85" s="48"/>
      <c r="G85" s="48"/>
      <c r="H85" s="48"/>
      <c r="I85" s="48"/>
      <c r="J85" s="48"/>
      <c r="K85" s="48"/>
      <c r="L85" s="48"/>
      <c r="M85" s="48"/>
      <c r="N85" s="48"/>
    </row>
    <row r="86" spans="1:14" ht="18" customHeight="1" x14ac:dyDescent="0.25">
      <c r="A86" s="48"/>
      <c r="B86" s="48"/>
      <c r="C86" s="48"/>
      <c r="D86" s="393" t="s">
        <v>528</v>
      </c>
      <c r="E86" s="393" t="s">
        <v>529</v>
      </c>
      <c r="F86" s="393" t="s">
        <v>530</v>
      </c>
      <c r="G86" s="393" t="s">
        <v>531</v>
      </c>
      <c r="H86" s="393" t="s">
        <v>532</v>
      </c>
      <c r="I86" s="393" t="s">
        <v>533</v>
      </c>
      <c r="J86" s="393" t="s">
        <v>534</v>
      </c>
      <c r="K86" s="393" t="s">
        <v>535</v>
      </c>
      <c r="L86" s="48"/>
      <c r="M86" s="48"/>
      <c r="N86" s="48"/>
    </row>
    <row r="87" spans="1:14" ht="15" customHeight="1" x14ac:dyDescent="0.25">
      <c r="A87" s="48"/>
      <c r="B87" s="2010" t="s">
        <v>135</v>
      </c>
      <c r="C87" s="2011"/>
      <c r="D87" s="523"/>
      <c r="E87" s="523"/>
      <c r="F87" s="523"/>
      <c r="G87" s="523"/>
      <c r="H87" s="523"/>
      <c r="I87" s="523"/>
      <c r="J87" s="523"/>
      <c r="K87" s="523"/>
      <c r="L87" s="48"/>
      <c r="M87" s="48"/>
      <c r="N87" s="48"/>
    </row>
    <row r="88" spans="1:14" ht="15" customHeight="1" x14ac:dyDescent="0.25">
      <c r="A88" s="48"/>
      <c r="B88" s="2010" t="s">
        <v>536</v>
      </c>
      <c r="C88" s="2011"/>
      <c r="D88" s="524"/>
      <c r="E88" s="524"/>
      <c r="F88" s="524"/>
      <c r="G88" s="524"/>
      <c r="H88" s="524"/>
      <c r="I88" s="524"/>
      <c r="J88" s="524"/>
      <c r="K88" s="524"/>
      <c r="L88" s="48"/>
      <c r="M88" s="48"/>
      <c r="N88" s="48"/>
    </row>
    <row r="89" spans="1:14" ht="15" customHeight="1" x14ac:dyDescent="0.25">
      <c r="A89" s="48"/>
      <c r="B89" s="2010" t="s">
        <v>537</v>
      </c>
      <c r="C89" s="2011"/>
      <c r="D89" s="524"/>
      <c r="E89" s="524"/>
      <c r="F89" s="525"/>
      <c r="G89" s="525"/>
      <c r="H89" s="525"/>
      <c r="I89" s="525"/>
      <c r="J89" s="525"/>
      <c r="K89" s="525"/>
      <c r="L89" s="48"/>
      <c r="M89" s="48"/>
      <c r="N89" s="48"/>
    </row>
    <row r="90" spans="1:14" ht="15" customHeight="1" x14ac:dyDescent="0.3">
      <c r="A90" s="48"/>
      <c r="B90" s="2010" t="s">
        <v>549</v>
      </c>
      <c r="C90" s="2011"/>
      <c r="D90" s="524"/>
      <c r="E90" s="524"/>
      <c r="F90" s="524"/>
      <c r="G90" s="526"/>
      <c r="H90" s="526"/>
      <c r="I90" s="526"/>
      <c r="J90" s="526"/>
      <c r="K90" s="526"/>
      <c r="L90" s="48"/>
      <c r="M90" s="48"/>
      <c r="N90" s="48"/>
    </row>
    <row r="91" spans="1:14" ht="15" customHeight="1" x14ac:dyDescent="0.25">
      <c r="A91" s="48"/>
      <c r="B91" s="2010" t="s">
        <v>551</v>
      </c>
      <c r="C91" s="2011"/>
      <c r="D91" s="524"/>
      <c r="E91" s="524"/>
      <c r="F91" s="524"/>
      <c r="G91" s="526"/>
      <c r="H91" s="526"/>
      <c r="I91" s="526"/>
      <c r="J91" s="526"/>
      <c r="K91" s="526"/>
      <c r="L91" s="48"/>
      <c r="M91" s="48"/>
      <c r="N91" s="48"/>
    </row>
    <row r="92" spans="1:14" ht="15" customHeight="1" x14ac:dyDescent="0.25">
      <c r="A92" s="48"/>
      <c r="B92" s="2010" t="s">
        <v>544</v>
      </c>
      <c r="C92" s="2011"/>
      <c r="D92" s="527" t="str">
        <f t="shared" ref="D92:H92" si="0">IF(D91="","",D91/D90)</f>
        <v/>
      </c>
      <c r="E92" s="527" t="str">
        <f t="shared" si="0"/>
        <v/>
      </c>
      <c r="F92" s="527" t="str">
        <f t="shared" si="0"/>
        <v/>
      </c>
      <c r="G92" s="527" t="str">
        <f t="shared" si="0"/>
        <v/>
      </c>
      <c r="H92" s="527" t="str">
        <f t="shared" si="0"/>
        <v/>
      </c>
      <c r="I92" s="527"/>
      <c r="J92" s="527"/>
      <c r="K92" s="527"/>
      <c r="L92" s="48"/>
      <c r="M92" s="48"/>
      <c r="N92" s="48"/>
    </row>
    <row r="93" spans="1:14" ht="15" customHeight="1" x14ac:dyDescent="0.25">
      <c r="A93" s="48"/>
      <c r="B93" s="2010" t="s">
        <v>545</v>
      </c>
      <c r="C93" s="2011"/>
      <c r="D93" s="524"/>
      <c r="E93" s="524"/>
      <c r="F93" s="524"/>
      <c r="G93" s="526"/>
      <c r="H93" s="526"/>
      <c r="I93" s="526"/>
      <c r="J93" s="526"/>
      <c r="K93" s="526"/>
      <c r="L93" s="48"/>
      <c r="M93" s="48"/>
      <c r="N93" s="48"/>
    </row>
    <row r="94" spans="1:14" ht="15" customHeight="1" x14ac:dyDescent="0.3">
      <c r="A94" s="48"/>
      <c r="B94" s="2010" t="s">
        <v>550</v>
      </c>
      <c r="C94" s="2011"/>
      <c r="D94" s="524"/>
      <c r="E94" s="524"/>
      <c r="F94" s="524"/>
      <c r="G94" s="526"/>
      <c r="H94" s="526"/>
      <c r="I94" s="526"/>
      <c r="J94" s="526"/>
      <c r="K94" s="526"/>
      <c r="L94" s="48"/>
      <c r="M94" s="48"/>
      <c r="N94" s="48"/>
    </row>
    <row r="95" spans="1:14" ht="15" customHeight="1" x14ac:dyDescent="0.25">
      <c r="A95" s="48"/>
      <c r="B95" s="2010" t="s">
        <v>546</v>
      </c>
      <c r="C95" s="2011" t="s">
        <v>538</v>
      </c>
      <c r="D95" s="528"/>
      <c r="E95" s="528"/>
      <c r="F95" s="528"/>
      <c r="G95" s="529"/>
      <c r="H95" s="529"/>
      <c r="I95" s="529"/>
      <c r="J95" s="529"/>
      <c r="K95" s="529"/>
      <c r="L95" s="48"/>
      <c r="M95" s="48"/>
      <c r="N95" s="48"/>
    </row>
    <row r="96" spans="1:14" ht="15" customHeight="1" x14ac:dyDescent="0.25">
      <c r="A96" s="48"/>
      <c r="B96" s="2010" t="s">
        <v>547</v>
      </c>
      <c r="C96" s="2011" t="s">
        <v>539</v>
      </c>
      <c r="D96" s="528"/>
      <c r="E96" s="528"/>
      <c r="F96" s="528"/>
      <c r="G96" s="529"/>
      <c r="H96" s="529"/>
      <c r="I96" s="529"/>
      <c r="J96" s="529"/>
      <c r="K96" s="529"/>
      <c r="L96" s="48"/>
      <c r="M96" s="48"/>
      <c r="N96" s="48"/>
    </row>
    <row r="97" spans="1:15" ht="15" customHeight="1" x14ac:dyDescent="0.25">
      <c r="A97" s="48"/>
      <c r="B97" s="2010" t="s">
        <v>548</v>
      </c>
      <c r="C97" s="2011" t="s">
        <v>540</v>
      </c>
      <c r="D97" s="524"/>
      <c r="E97" s="524"/>
      <c r="F97" s="524"/>
      <c r="G97" s="526"/>
      <c r="H97" s="526"/>
      <c r="I97" s="526"/>
      <c r="J97" s="526"/>
      <c r="K97" s="526"/>
      <c r="L97" s="48"/>
      <c r="M97" s="48"/>
      <c r="N97" s="48"/>
    </row>
    <row r="98" spans="1:15" ht="15" customHeight="1" x14ac:dyDescent="0.25">
      <c r="A98" s="48"/>
      <c r="B98" s="2010" t="s">
        <v>541</v>
      </c>
      <c r="C98" s="2011" t="s">
        <v>541</v>
      </c>
      <c r="D98" s="530" t="str">
        <f>IFERROR(D93*(D95*D97+D96)*D92/D97,"")</f>
        <v/>
      </c>
      <c r="E98" s="530" t="str">
        <f t="shared" ref="E98:K98" si="1">IFERROR(E93*(E95*E97+E96)*E92/E97,"")</f>
        <v/>
      </c>
      <c r="F98" s="530" t="str">
        <f t="shared" si="1"/>
        <v/>
      </c>
      <c r="G98" s="530" t="str">
        <f t="shared" si="1"/>
        <v/>
      </c>
      <c r="H98" s="530" t="str">
        <f t="shared" si="1"/>
        <v/>
      </c>
      <c r="I98" s="530" t="str">
        <f t="shared" si="1"/>
        <v/>
      </c>
      <c r="J98" s="530" t="str">
        <f t="shared" si="1"/>
        <v/>
      </c>
      <c r="K98" s="530" t="str">
        <f t="shared" si="1"/>
        <v/>
      </c>
      <c r="L98" s="48"/>
      <c r="M98" s="48"/>
      <c r="N98" s="48"/>
    </row>
    <row r="99" spans="1:15" ht="15" customHeight="1" x14ac:dyDescent="0.25">
      <c r="A99" s="48"/>
      <c r="B99" s="2010" t="s">
        <v>542</v>
      </c>
      <c r="C99" s="2011" t="s">
        <v>542</v>
      </c>
      <c r="D99" s="531" t="str">
        <f>IFERROR(D94*(D95*D97+D96)*D92/D97,"")</f>
        <v/>
      </c>
      <c r="E99" s="531" t="str">
        <f t="shared" ref="E99:K99" si="2">IFERROR(E94*(E95*E97+E96)*E92/E97,"")</f>
        <v/>
      </c>
      <c r="F99" s="531" t="str">
        <f t="shared" si="2"/>
        <v/>
      </c>
      <c r="G99" s="531" t="str">
        <f t="shared" si="2"/>
        <v/>
      </c>
      <c r="H99" s="531" t="str">
        <f t="shared" si="2"/>
        <v/>
      </c>
      <c r="I99" s="531" t="str">
        <f t="shared" si="2"/>
        <v/>
      </c>
      <c r="J99" s="531" t="str">
        <f t="shared" si="2"/>
        <v/>
      </c>
      <c r="K99" s="531" t="str">
        <f t="shared" si="2"/>
        <v/>
      </c>
      <c r="L99" s="48"/>
      <c r="M99" s="48"/>
      <c r="N99" s="48"/>
    </row>
    <row r="100" spans="1:15" ht="18.75" customHeight="1" x14ac:dyDescent="0.25">
      <c r="A100" s="48"/>
      <c r="B100" s="2020" t="s">
        <v>543</v>
      </c>
      <c r="C100" s="2021"/>
      <c r="D100" s="532" t="str">
        <f t="shared" ref="D100:E100" si="3">IF(OR(D98="",D99=""),"",D99+D98*10^5)</f>
        <v/>
      </c>
      <c r="E100" s="532" t="str">
        <f t="shared" si="3"/>
        <v/>
      </c>
      <c r="F100" s="532" t="str">
        <f>IF(OR(F98="",F99=""),"",F99+F98*10^5)</f>
        <v/>
      </c>
      <c r="G100" s="532" t="str">
        <f t="shared" ref="G100:K100" si="4">IF(OR(G98="",G99=""),"",G99+G98*10^5)</f>
        <v/>
      </c>
      <c r="H100" s="532" t="str">
        <f t="shared" si="4"/>
        <v/>
      </c>
      <c r="I100" s="532" t="str">
        <f t="shared" si="4"/>
        <v/>
      </c>
      <c r="J100" s="532" t="str">
        <f t="shared" si="4"/>
        <v/>
      </c>
      <c r="K100" s="532" t="str">
        <f t="shared" si="4"/>
        <v/>
      </c>
      <c r="L100" s="48"/>
      <c r="M100" s="48"/>
      <c r="N100" s="48"/>
    </row>
    <row r="101" spans="1:15" ht="18.75" customHeight="1" x14ac:dyDescent="0.25">
      <c r="A101" s="48"/>
      <c r="B101" s="48"/>
      <c r="C101" s="48"/>
      <c r="D101" s="48"/>
      <c r="E101" s="48"/>
      <c r="F101" s="48"/>
      <c r="G101" s="48"/>
      <c r="H101" s="48"/>
      <c r="I101" s="48"/>
      <c r="J101" s="48"/>
      <c r="K101" s="48"/>
      <c r="L101" s="48"/>
      <c r="M101" s="48"/>
      <c r="N101" s="48"/>
    </row>
    <row r="102" spans="1:15" ht="18.75" customHeight="1" x14ac:dyDescent="0.25">
      <c r="A102" s="48"/>
      <c r="B102" s="2013" t="s">
        <v>1310</v>
      </c>
      <c r="C102" s="2013"/>
      <c r="D102" s="2013"/>
      <c r="E102" s="1045" t="str">
        <f>IFERROR(SUMPRODUCT(D100:$K100,D90:$K90,D88:$K88)/SUMPRODUCT(D90:$K90,D88:$K88),"")</f>
        <v/>
      </c>
      <c r="F102" s="48"/>
      <c r="G102" s="48"/>
      <c r="H102" s="48"/>
      <c r="I102" s="48"/>
      <c r="J102" s="48"/>
      <c r="K102" s="48"/>
      <c r="L102" s="48"/>
      <c r="M102" s="48"/>
      <c r="N102" s="48"/>
    </row>
    <row r="103" spans="1:15" ht="18.75" customHeight="1" x14ac:dyDescent="0.25">
      <c r="A103" s="48"/>
      <c r="B103" s="49"/>
      <c r="C103" s="49"/>
      <c r="D103" s="49"/>
      <c r="E103" s="49"/>
      <c r="F103" s="48"/>
      <c r="G103" s="48"/>
      <c r="H103" s="48"/>
      <c r="I103" s="48"/>
      <c r="J103" s="48"/>
      <c r="K103" s="48"/>
      <c r="L103" s="48"/>
      <c r="M103" s="69"/>
      <c r="N103" s="69"/>
    </row>
    <row r="104" spans="1:15" ht="16.5" customHeight="1" x14ac:dyDescent="0.25">
      <c r="A104" s="1999" t="s">
        <v>97</v>
      </c>
      <c r="B104" s="1999"/>
      <c r="C104" s="1999"/>
      <c r="D104" s="48"/>
      <c r="E104" s="48"/>
      <c r="F104" s="48"/>
      <c r="G104" s="48"/>
      <c r="H104" s="48"/>
      <c r="I104" s="48"/>
      <c r="J104" s="48"/>
      <c r="K104" s="48"/>
      <c r="L104" s="48"/>
      <c r="M104" s="48"/>
      <c r="N104" s="48"/>
    </row>
    <row r="105" spans="1:15" x14ac:dyDescent="0.25">
      <c r="A105" s="48"/>
      <c r="B105" s="48"/>
      <c r="C105" s="48"/>
      <c r="D105" s="48"/>
      <c r="E105" s="48"/>
      <c r="F105" s="48"/>
      <c r="G105" s="48"/>
      <c r="H105" s="48"/>
      <c r="I105" s="48"/>
      <c r="J105" s="48"/>
      <c r="K105" s="48"/>
      <c r="L105" s="48"/>
      <c r="M105" s="48"/>
      <c r="N105" s="48"/>
    </row>
    <row r="106" spans="1:15" ht="21" customHeight="1" x14ac:dyDescent="0.25">
      <c r="A106" s="48"/>
      <c r="B106" s="2017" t="s">
        <v>98</v>
      </c>
      <c r="C106" s="2018"/>
      <c r="D106" s="2018"/>
      <c r="E106" s="2018"/>
      <c r="F106" s="2018"/>
      <c r="G106" s="2018"/>
      <c r="H106" s="787" t="s">
        <v>1297</v>
      </c>
      <c r="I106" s="1997" t="s">
        <v>1298</v>
      </c>
      <c r="J106" s="1998"/>
      <c r="K106" s="48"/>
      <c r="L106" s="48"/>
      <c r="M106" s="48"/>
      <c r="N106" s="48"/>
    </row>
    <row r="107" spans="1:15" ht="27" customHeight="1" x14ac:dyDescent="0.25">
      <c r="A107" s="48"/>
      <c r="B107" s="1644" t="str">
        <f>Submittals!H61</f>
        <v>Select the Submission Stage in Project Information</v>
      </c>
      <c r="C107" s="1645"/>
      <c r="D107" s="1645"/>
      <c r="E107" s="1645"/>
      <c r="F107" s="1645"/>
      <c r="G107" s="1646"/>
      <c r="H107" s="1259" t="s">
        <v>62</v>
      </c>
      <c r="I107" s="1625"/>
      <c r="J107" s="1626"/>
      <c r="K107" s="48"/>
      <c r="L107" s="48"/>
      <c r="M107" s="48"/>
      <c r="N107" s="48"/>
      <c r="O107" s="37" t="str">
        <f>IF(OR(B107="/",B107="No evidence required at this submission stage"),"Yes",IF(H107="Submitted","Yes","No"))</f>
        <v>No</v>
      </c>
    </row>
    <row r="108" spans="1:15" ht="27" customHeight="1" x14ac:dyDescent="0.25">
      <c r="A108" s="48"/>
      <c r="B108" s="1644" t="str">
        <f>Submittals!H62</f>
        <v>Select the Submission Stage in Project Information</v>
      </c>
      <c r="C108" s="1645"/>
      <c r="D108" s="1645"/>
      <c r="E108" s="1645"/>
      <c r="F108" s="1645"/>
      <c r="G108" s="1646"/>
      <c r="H108" s="1259" t="s">
        <v>62</v>
      </c>
      <c r="I108" s="1625"/>
      <c r="J108" s="1626"/>
      <c r="K108" s="48"/>
      <c r="L108" s="48"/>
      <c r="M108" s="48"/>
      <c r="N108" s="48"/>
      <c r="O108" s="37" t="str">
        <f>IF(OR(B108="/",B108="No evidence required at this submission stage"),"Yes",IF(H108="Submitted","Yes","No"))</f>
        <v>No</v>
      </c>
    </row>
    <row r="109" spans="1:15" ht="27" customHeight="1" x14ac:dyDescent="0.25">
      <c r="A109" s="48"/>
      <c r="B109" s="1644" t="str">
        <f>Submittals!H63</f>
        <v>Select the Submission Stage in Project Information</v>
      </c>
      <c r="C109" s="1645"/>
      <c r="D109" s="1645"/>
      <c r="E109" s="1645"/>
      <c r="F109" s="1645"/>
      <c r="G109" s="1646"/>
      <c r="H109" s="1259" t="s">
        <v>62</v>
      </c>
      <c r="I109" s="1625"/>
      <c r="J109" s="1626"/>
      <c r="K109" s="48"/>
      <c r="L109" s="48"/>
      <c r="M109" s="48"/>
      <c r="N109" s="48"/>
      <c r="O109" s="37" t="str">
        <f>IF(OR(B109="/",B109="No evidence required at this submission stage"),"Yes",IF(H109="Submitted","Yes","No"))</f>
        <v>No</v>
      </c>
    </row>
    <row r="110" spans="1:15" ht="16.5" customHeight="1" x14ac:dyDescent="0.25">
      <c r="A110" s="48"/>
      <c r="B110" s="49"/>
      <c r="C110" s="49"/>
      <c r="D110" s="49"/>
      <c r="E110" s="49"/>
      <c r="F110" s="48"/>
      <c r="G110" s="48"/>
      <c r="H110" s="48"/>
      <c r="I110" s="48"/>
      <c r="J110" s="48"/>
      <c r="K110" s="48"/>
      <c r="L110" s="48"/>
      <c r="M110" s="69"/>
      <c r="N110" s="69"/>
    </row>
    <row r="111" spans="1:15" ht="16.5" customHeight="1" x14ac:dyDescent="0.25">
      <c r="A111" s="1999" t="s">
        <v>8</v>
      </c>
      <c r="B111" s="1999"/>
      <c r="C111" s="1999"/>
      <c r="D111" s="48"/>
      <c r="E111" s="48"/>
      <c r="F111" s="48"/>
      <c r="G111" s="48"/>
      <c r="H111" s="48"/>
      <c r="I111" s="48"/>
      <c r="J111" s="48"/>
      <c r="K111" s="48"/>
      <c r="L111" s="48"/>
      <c r="M111" s="48"/>
      <c r="N111" s="48"/>
    </row>
    <row r="112" spans="1:15" x14ac:dyDescent="0.25">
      <c r="A112" s="48"/>
      <c r="B112" s="49"/>
      <c r="C112" s="49"/>
      <c r="D112" s="49"/>
      <c r="E112" s="49"/>
      <c r="F112" s="48"/>
      <c r="G112" s="48"/>
      <c r="H112" s="48"/>
      <c r="I112" s="48"/>
      <c r="J112" s="48"/>
      <c r="K112" s="48"/>
      <c r="L112" s="48"/>
      <c r="M112" s="48"/>
      <c r="N112" s="48"/>
    </row>
    <row r="113" spans="1:14" ht="18" customHeight="1" x14ac:dyDescent="0.25">
      <c r="A113" s="48"/>
      <c r="B113" s="385" t="s">
        <v>19</v>
      </c>
      <c r="C113" s="8">
        <f>IF(F68="Yes",IF(AND(COUNTIF(E149:E152,"Yes")&gt;0,E102&lt;11),1,0),IF(E102&lt;11,1,0))</f>
        <v>0</v>
      </c>
      <c r="D113" s="289"/>
      <c r="E113" s="48"/>
      <c r="F113" s="48"/>
      <c r="G113" s="48"/>
      <c r="H113" s="48"/>
      <c r="I113" s="48"/>
      <c r="J113" s="48"/>
      <c r="K113" s="48"/>
      <c r="L113" s="48"/>
      <c r="M113" s="48"/>
      <c r="N113" s="48"/>
    </row>
    <row r="114" spans="1:14" ht="18" customHeight="1" x14ac:dyDescent="0.25">
      <c r="A114" s="48"/>
      <c r="B114" s="385" t="s">
        <v>151</v>
      </c>
      <c r="C114" s="116" t="str">
        <f>IF(AND(COUNTIF(O107:O109,"Yes")=3,C113&gt;0),"Yes","No")</f>
        <v>No</v>
      </c>
      <c r="D114" s="49"/>
      <c r="E114" s="48"/>
      <c r="F114" s="48"/>
      <c r="G114" s="48"/>
      <c r="H114" s="48"/>
      <c r="I114" s="48"/>
      <c r="J114" s="48"/>
      <c r="K114" s="48"/>
      <c r="L114" s="48"/>
      <c r="M114" s="48"/>
      <c r="N114" s="48"/>
    </row>
    <row r="115" spans="1:14" ht="20.25" customHeight="1" x14ac:dyDescent="0.25">
      <c r="A115" s="48"/>
      <c r="B115" s="49"/>
      <c r="C115" s="49"/>
      <c r="D115" s="49"/>
      <c r="E115" s="49"/>
      <c r="F115" s="48"/>
      <c r="G115" s="48"/>
      <c r="H115" s="48"/>
      <c r="I115" s="48"/>
      <c r="J115" s="48"/>
      <c r="K115" s="48"/>
      <c r="L115" s="48"/>
      <c r="M115" s="48"/>
      <c r="N115" s="48"/>
    </row>
    <row r="116" spans="1:14" ht="18" customHeight="1" x14ac:dyDescent="0.25">
      <c r="A116" s="2014" t="s">
        <v>523</v>
      </c>
      <c r="B116" s="2014"/>
      <c r="C116" s="2014"/>
      <c r="D116" s="2014"/>
      <c r="E116" s="2014"/>
      <c r="F116" s="2014"/>
      <c r="G116" s="2014"/>
      <c r="H116" s="2014"/>
      <c r="I116" s="2014"/>
      <c r="J116" s="2014"/>
      <c r="K116" s="2014"/>
      <c r="L116" s="2014"/>
      <c r="M116" s="2014"/>
      <c r="N116" s="2014"/>
    </row>
    <row r="117" spans="1:14" ht="15.75" customHeight="1" x14ac:dyDescent="0.25">
      <c r="A117" s="406"/>
      <c r="B117" s="406"/>
      <c r="C117" s="406"/>
      <c r="D117" s="406"/>
      <c r="E117" s="406"/>
      <c r="F117" s="406"/>
      <c r="G117" s="406"/>
      <c r="H117" s="406"/>
      <c r="I117" s="406"/>
      <c r="J117" s="406"/>
      <c r="K117" s="406"/>
      <c r="L117" s="406"/>
      <c r="M117" s="406"/>
      <c r="N117" s="406"/>
    </row>
    <row r="118" spans="1:14" ht="16.5" customHeight="1" x14ac:dyDescent="0.25">
      <c r="A118" s="1999" t="s">
        <v>117</v>
      </c>
      <c r="B118" s="1999"/>
      <c r="C118" s="1999"/>
      <c r="D118" s="406"/>
      <c r="E118" s="406"/>
      <c r="F118" s="406"/>
      <c r="G118" s="406"/>
      <c r="H118" s="406"/>
      <c r="I118" s="406"/>
      <c r="J118" s="406"/>
      <c r="K118" s="406"/>
      <c r="L118" s="406"/>
      <c r="M118" s="406"/>
      <c r="N118" s="406"/>
    </row>
    <row r="119" spans="1:14" ht="15" customHeight="1" x14ac:dyDescent="0.25">
      <c r="A119" s="406"/>
      <c r="B119" s="406"/>
      <c r="C119" s="406"/>
      <c r="D119" s="406"/>
      <c r="E119" s="406"/>
      <c r="F119" s="406"/>
      <c r="G119" s="406"/>
      <c r="H119" s="406"/>
      <c r="I119" s="406"/>
      <c r="J119" s="406"/>
      <c r="K119" s="406"/>
      <c r="L119" s="406"/>
      <c r="M119" s="406"/>
      <c r="N119" s="406"/>
    </row>
    <row r="120" spans="1:14" ht="15" customHeight="1" x14ac:dyDescent="0.25">
      <c r="A120" s="124"/>
      <c r="B120" s="599" t="s">
        <v>978</v>
      </c>
      <c r="C120" s="124"/>
      <c r="D120" s="124"/>
      <c r="E120" s="406"/>
      <c r="F120" s="406"/>
      <c r="G120" s="406"/>
      <c r="H120" s="406"/>
      <c r="I120" s="406"/>
      <c r="J120" s="406"/>
      <c r="K120" s="406"/>
      <c r="L120" s="406"/>
      <c r="M120" s="406"/>
      <c r="N120" s="406"/>
    </row>
    <row r="121" spans="1:14" ht="15" customHeight="1" x14ac:dyDescent="0.25">
      <c r="A121" s="124"/>
      <c r="B121" s="600" t="s">
        <v>583</v>
      </c>
      <c r="C121" s="124"/>
      <c r="D121" s="124"/>
      <c r="E121" s="406"/>
      <c r="F121" s="406"/>
      <c r="G121" s="406"/>
      <c r="H121" s="406"/>
      <c r="I121" s="406"/>
      <c r="J121" s="406"/>
      <c r="K121" s="406"/>
      <c r="L121" s="406"/>
      <c r="M121" s="406"/>
      <c r="N121" s="406"/>
    </row>
    <row r="122" spans="1:14" ht="15" customHeight="1" x14ac:dyDescent="0.25">
      <c r="A122" s="124"/>
      <c r="B122" s="600" t="s">
        <v>584</v>
      </c>
      <c r="C122" s="124"/>
      <c r="D122" s="124"/>
      <c r="E122" s="406"/>
      <c r="F122" s="406"/>
      <c r="G122" s="406"/>
      <c r="H122" s="406"/>
      <c r="I122" s="406"/>
      <c r="J122" s="406"/>
      <c r="K122" s="406"/>
      <c r="L122" s="406"/>
      <c r="M122" s="406"/>
      <c r="N122" s="406"/>
    </row>
    <row r="123" spans="1:14" ht="15" customHeight="1" x14ac:dyDescent="0.25">
      <c r="A123" s="124"/>
      <c r="B123" s="600" t="s">
        <v>585</v>
      </c>
      <c r="C123" s="124"/>
      <c r="D123" s="124"/>
      <c r="E123" s="124"/>
      <c r="F123" s="124"/>
      <c r="G123" s="124"/>
      <c r="H123" s="124"/>
      <c r="I123" s="124"/>
      <c r="J123" s="124"/>
      <c r="K123" s="124"/>
      <c r="L123" s="124"/>
      <c r="M123" s="124"/>
      <c r="N123" s="124"/>
    </row>
    <row r="124" spans="1:14" ht="15" customHeight="1" x14ac:dyDescent="0.25">
      <c r="A124" s="124"/>
      <c r="B124" s="124"/>
      <c r="C124" s="124"/>
      <c r="D124" s="124"/>
      <c r="E124" s="124"/>
      <c r="F124" s="124"/>
      <c r="G124" s="124"/>
      <c r="H124" s="124"/>
      <c r="I124" s="124"/>
      <c r="J124" s="124"/>
      <c r="K124" s="124"/>
      <c r="L124" s="124"/>
      <c r="M124" s="124"/>
      <c r="N124" s="124"/>
    </row>
    <row r="125" spans="1:14" ht="15" customHeight="1" x14ac:dyDescent="0.25">
      <c r="A125" s="124"/>
      <c r="B125" s="578" t="s">
        <v>975</v>
      </c>
      <c r="C125" s="583"/>
      <c r="D125" s="583"/>
      <c r="E125" s="583"/>
      <c r="F125" s="583"/>
      <c r="G125" s="583"/>
      <c r="H125" s="583"/>
      <c r="I125" s="583"/>
      <c r="J125" s="583"/>
      <c r="K125" s="584"/>
      <c r="L125" s="124"/>
      <c r="M125" s="124"/>
      <c r="N125" s="124"/>
    </row>
    <row r="126" spans="1:14" ht="15" customHeight="1" x14ac:dyDescent="0.25">
      <c r="A126" s="124"/>
      <c r="B126" s="579" t="s">
        <v>981</v>
      </c>
      <c r="C126" s="598"/>
      <c r="D126" s="598"/>
      <c r="E126" s="598"/>
      <c r="F126" s="598"/>
      <c r="G126" s="598"/>
      <c r="H126" s="598"/>
      <c r="I126" s="598"/>
      <c r="J126" s="598"/>
      <c r="K126" s="585"/>
      <c r="L126" s="124"/>
      <c r="M126" s="124"/>
      <c r="N126" s="124"/>
    </row>
    <row r="127" spans="1:14" ht="30" customHeight="1" x14ac:dyDescent="0.25">
      <c r="A127" s="124"/>
      <c r="B127" s="2006" t="s">
        <v>982</v>
      </c>
      <c r="C127" s="2007"/>
      <c r="D127" s="2007"/>
      <c r="E127" s="2007"/>
      <c r="F127" s="2007"/>
      <c r="G127" s="2007"/>
      <c r="H127" s="2007"/>
      <c r="I127" s="2007"/>
      <c r="J127" s="2007"/>
      <c r="K127" s="2008"/>
      <c r="L127" s="124"/>
      <c r="M127" s="124"/>
      <c r="N127" s="124"/>
    </row>
    <row r="128" spans="1:14" ht="42" customHeight="1" x14ac:dyDescent="0.25">
      <c r="A128" s="124"/>
      <c r="B128" s="2006" t="s">
        <v>983</v>
      </c>
      <c r="C128" s="2007"/>
      <c r="D128" s="2007"/>
      <c r="E128" s="2007"/>
      <c r="F128" s="2007"/>
      <c r="G128" s="2007"/>
      <c r="H128" s="2007"/>
      <c r="I128" s="2007"/>
      <c r="J128" s="2007"/>
      <c r="K128" s="2008"/>
      <c r="L128" s="124"/>
      <c r="M128" s="124"/>
      <c r="N128" s="124"/>
    </row>
    <row r="129" spans="1:16" ht="30" customHeight="1" x14ac:dyDescent="0.25">
      <c r="A129" s="124"/>
      <c r="B129" s="2027" t="s">
        <v>984</v>
      </c>
      <c r="C129" s="2028"/>
      <c r="D129" s="2028"/>
      <c r="E129" s="2028"/>
      <c r="F129" s="2028"/>
      <c r="G129" s="2028"/>
      <c r="H129" s="2028"/>
      <c r="I129" s="2028"/>
      <c r="J129" s="2028"/>
      <c r="K129" s="2029"/>
      <c r="L129" s="124"/>
      <c r="M129" s="124"/>
      <c r="N129" s="124"/>
    </row>
    <row r="130" spans="1:16" ht="18" customHeight="1" x14ac:dyDescent="0.25">
      <c r="A130" s="124"/>
      <c r="B130" s="124"/>
      <c r="C130" s="124"/>
      <c r="D130" s="124"/>
      <c r="E130" s="124"/>
      <c r="F130" s="124"/>
      <c r="G130" s="124"/>
      <c r="H130" s="124"/>
      <c r="I130" s="124"/>
      <c r="J130" s="124"/>
      <c r="K130" s="124"/>
      <c r="L130" s="124"/>
      <c r="M130" s="124"/>
      <c r="N130" s="124"/>
    </row>
    <row r="131" spans="1:16" ht="18" customHeight="1" x14ac:dyDescent="0.25">
      <c r="A131" s="124"/>
      <c r="B131" s="1814" t="s">
        <v>1103</v>
      </c>
      <c r="C131" s="1814"/>
      <c r="D131" s="1814"/>
      <c r="E131" s="1814"/>
      <c r="F131" s="1814"/>
      <c r="G131" s="1814"/>
      <c r="H131" s="1814"/>
      <c r="I131" s="1814"/>
      <c r="J131" s="124"/>
      <c r="K131" s="124"/>
      <c r="L131" s="124"/>
      <c r="M131" s="124"/>
      <c r="N131" s="124"/>
    </row>
    <row r="132" spans="1:16" ht="13.5" customHeight="1" x14ac:dyDescent="0.25">
      <c r="A132" s="124"/>
      <c r="B132" s="124"/>
      <c r="C132" s="124"/>
      <c r="D132" s="124"/>
      <c r="E132" s="124"/>
      <c r="F132" s="124"/>
      <c r="G132" s="124"/>
      <c r="H132" s="124"/>
      <c r="I132" s="124"/>
      <c r="J132" s="124"/>
      <c r="K132" s="124"/>
      <c r="L132" s="124"/>
      <c r="M132" s="124"/>
      <c r="N132" s="124"/>
    </row>
    <row r="133" spans="1:16" ht="27" customHeight="1" x14ac:dyDescent="0.25">
      <c r="A133" s="124"/>
      <c r="B133" s="2015" t="s">
        <v>976</v>
      </c>
      <c r="C133" s="1990"/>
      <c r="D133" s="1990" t="s">
        <v>587</v>
      </c>
      <c r="E133" s="1990"/>
      <c r="F133" s="607" t="s">
        <v>591</v>
      </c>
      <c r="G133" s="607" t="s">
        <v>589</v>
      </c>
      <c r="H133" s="607" t="s">
        <v>588</v>
      </c>
      <c r="I133" s="572" t="s">
        <v>590</v>
      </c>
      <c r="J133" s="124"/>
      <c r="K133" s="124"/>
      <c r="L133" s="124"/>
      <c r="M133" s="124"/>
      <c r="N133" s="124"/>
    </row>
    <row r="134" spans="1:16" ht="18" customHeight="1" x14ac:dyDescent="0.25">
      <c r="A134" s="124"/>
      <c r="B134" s="2038"/>
      <c r="C134" s="2038"/>
      <c r="D134" s="2038" t="s">
        <v>62</v>
      </c>
      <c r="E134" s="2038"/>
      <c r="F134" s="609"/>
      <c r="G134" s="610" t="s">
        <v>62</v>
      </c>
      <c r="H134" s="611"/>
      <c r="I134" s="611"/>
      <c r="J134" s="124"/>
      <c r="K134" s="124"/>
      <c r="L134" s="124"/>
      <c r="M134" s="124"/>
      <c r="N134" s="124"/>
    </row>
    <row r="135" spans="1:16" ht="18" customHeight="1" x14ac:dyDescent="0.25">
      <c r="A135" s="124"/>
      <c r="B135" s="1988"/>
      <c r="C135" s="1988"/>
      <c r="D135" s="1988" t="s">
        <v>62</v>
      </c>
      <c r="E135" s="1988"/>
      <c r="F135" s="601"/>
      <c r="G135" s="602" t="s">
        <v>62</v>
      </c>
      <c r="H135" s="603"/>
      <c r="I135" s="603"/>
      <c r="J135" s="124"/>
      <c r="K135" s="124"/>
      <c r="L135" s="124"/>
      <c r="M135" s="124"/>
      <c r="N135" s="124"/>
    </row>
    <row r="136" spans="1:16" ht="18" customHeight="1" x14ac:dyDescent="0.25">
      <c r="A136" s="124"/>
      <c r="B136" s="1988"/>
      <c r="C136" s="1988"/>
      <c r="D136" s="1988" t="s">
        <v>62</v>
      </c>
      <c r="E136" s="1988"/>
      <c r="F136" s="601"/>
      <c r="G136" s="602" t="s">
        <v>62</v>
      </c>
      <c r="H136" s="603"/>
      <c r="I136" s="603"/>
      <c r="J136" s="124"/>
      <c r="K136" s="124"/>
      <c r="L136" s="124"/>
      <c r="M136" s="124"/>
      <c r="N136" s="124"/>
    </row>
    <row r="137" spans="1:16" ht="18" customHeight="1" x14ac:dyDescent="0.25">
      <c r="A137" s="124"/>
      <c r="B137" s="1988"/>
      <c r="C137" s="1988"/>
      <c r="D137" s="1988" t="s">
        <v>62</v>
      </c>
      <c r="E137" s="1988"/>
      <c r="F137" s="601"/>
      <c r="G137" s="602" t="s">
        <v>62</v>
      </c>
      <c r="H137" s="603"/>
      <c r="I137" s="603"/>
      <c r="J137" s="124"/>
      <c r="K137" s="124"/>
      <c r="L137" s="124"/>
      <c r="M137" s="124"/>
      <c r="N137" s="124"/>
    </row>
    <row r="138" spans="1:16" ht="18" customHeight="1" x14ac:dyDescent="0.25">
      <c r="A138" s="124"/>
      <c r="B138" s="1988"/>
      <c r="C138" s="1988"/>
      <c r="D138" s="1988" t="s">
        <v>62</v>
      </c>
      <c r="E138" s="1988"/>
      <c r="F138" s="601"/>
      <c r="G138" s="602" t="s">
        <v>62</v>
      </c>
      <c r="H138" s="603"/>
      <c r="I138" s="603"/>
      <c r="J138" s="124"/>
      <c r="K138" s="124"/>
      <c r="L138" s="124"/>
      <c r="M138" s="124"/>
      <c r="N138" s="124"/>
      <c r="O138" s="37" t="s">
        <v>977</v>
      </c>
      <c r="P138" s="37" t="str">
        <f>IF(COUNTIF(D134:E138,"Select")=5,"",IF((COUNTIF(D134:E138,"multi-split")+COUNTIF(D134:E138,"VRF"))&lt;&gt;0,"Yes","No"))</f>
        <v/>
      </c>
    </row>
    <row r="139" spans="1:16" ht="18" customHeight="1" x14ac:dyDescent="0.25">
      <c r="A139" s="124"/>
      <c r="B139" s="124"/>
      <c r="C139" s="124"/>
      <c r="D139" s="124"/>
      <c r="E139" s="124"/>
      <c r="F139" s="124"/>
      <c r="G139" s="124"/>
      <c r="H139" s="124"/>
      <c r="I139" s="124"/>
      <c r="J139" s="124"/>
      <c r="K139" s="124"/>
      <c r="L139" s="124"/>
      <c r="M139" s="124"/>
      <c r="N139" s="124"/>
    </row>
    <row r="140" spans="1:16" ht="30" customHeight="1" x14ac:dyDescent="0.25">
      <c r="A140" s="124"/>
      <c r="B140" s="2015" t="s">
        <v>592</v>
      </c>
      <c r="C140" s="1990"/>
      <c r="D140" s="1990" t="s">
        <v>587</v>
      </c>
      <c r="E140" s="1990"/>
      <c r="F140" s="607" t="s">
        <v>591</v>
      </c>
      <c r="G140" s="607" t="s">
        <v>589</v>
      </c>
      <c r="H140" s="608" t="s">
        <v>595</v>
      </c>
      <c r="I140" s="607" t="s">
        <v>588</v>
      </c>
      <c r="J140" s="572" t="s">
        <v>590</v>
      </c>
      <c r="K140" s="124"/>
      <c r="L140" s="124"/>
      <c r="M140" s="124"/>
      <c r="N140" s="124"/>
    </row>
    <row r="141" spans="1:16" ht="15" customHeight="1" x14ac:dyDescent="0.25">
      <c r="A141" s="124"/>
      <c r="B141" s="2009"/>
      <c r="C141" s="2009"/>
      <c r="D141" s="2009" t="s">
        <v>62</v>
      </c>
      <c r="E141" s="2009"/>
      <c r="F141" s="604"/>
      <c r="G141" s="605" t="s">
        <v>62</v>
      </c>
      <c r="H141" s="606"/>
      <c r="I141" s="606"/>
      <c r="J141" s="606"/>
      <c r="K141" s="124"/>
      <c r="L141" s="124"/>
      <c r="M141" s="124"/>
      <c r="N141" s="124"/>
    </row>
    <row r="142" spans="1:16" ht="15" customHeight="1" x14ac:dyDescent="0.25">
      <c r="A142" s="124"/>
      <c r="B142" s="1989"/>
      <c r="C142" s="1989"/>
      <c r="D142" s="1989" t="s">
        <v>62</v>
      </c>
      <c r="E142" s="1989"/>
      <c r="F142" s="407"/>
      <c r="G142" s="408" t="s">
        <v>62</v>
      </c>
      <c r="H142" s="413"/>
      <c r="I142" s="413"/>
      <c r="J142" s="413"/>
      <c r="K142" s="124"/>
      <c r="L142" s="124"/>
      <c r="M142" s="124"/>
      <c r="N142" s="124"/>
    </row>
    <row r="143" spans="1:16" ht="15" customHeight="1" x14ac:dyDescent="0.25">
      <c r="A143" s="124"/>
      <c r="B143" s="1989"/>
      <c r="C143" s="1989"/>
      <c r="D143" s="1989" t="s">
        <v>62</v>
      </c>
      <c r="E143" s="1989"/>
      <c r="F143" s="407"/>
      <c r="G143" s="408" t="s">
        <v>62</v>
      </c>
      <c r="H143" s="413"/>
      <c r="I143" s="413"/>
      <c r="J143" s="413"/>
      <c r="K143" s="124"/>
      <c r="L143" s="124"/>
      <c r="M143" s="124"/>
      <c r="N143" s="124"/>
    </row>
    <row r="144" spans="1:16" ht="15" customHeight="1" x14ac:dyDescent="0.25">
      <c r="A144" s="124"/>
      <c r="B144" s="1989"/>
      <c r="C144" s="1989"/>
      <c r="D144" s="1989" t="s">
        <v>62</v>
      </c>
      <c r="E144" s="1989"/>
      <c r="F144" s="407"/>
      <c r="G144" s="408" t="s">
        <v>62</v>
      </c>
      <c r="H144" s="413"/>
      <c r="I144" s="413"/>
      <c r="J144" s="413"/>
      <c r="K144" s="124"/>
      <c r="L144" s="124"/>
      <c r="M144" s="124"/>
      <c r="N144" s="124"/>
    </row>
    <row r="145" spans="1:16" ht="15" customHeight="1" x14ac:dyDescent="0.25">
      <c r="A145" s="124"/>
      <c r="B145" s="1989"/>
      <c r="C145" s="1989"/>
      <c r="D145" s="1989" t="s">
        <v>62</v>
      </c>
      <c r="E145" s="1989"/>
      <c r="F145" s="407"/>
      <c r="G145" s="408" t="s">
        <v>62</v>
      </c>
      <c r="H145" s="413"/>
      <c r="I145" s="413"/>
      <c r="J145" s="413"/>
      <c r="K145" s="124"/>
      <c r="L145" s="124"/>
      <c r="M145" s="124"/>
      <c r="N145" s="124"/>
    </row>
    <row r="146" spans="1:16" ht="15" customHeight="1" x14ac:dyDescent="0.25">
      <c r="A146" s="124"/>
      <c r="B146" s="1989"/>
      <c r="C146" s="1989"/>
      <c r="D146" s="1989" t="s">
        <v>62</v>
      </c>
      <c r="E146" s="1989"/>
      <c r="F146" s="407"/>
      <c r="G146" s="408" t="s">
        <v>62</v>
      </c>
      <c r="H146" s="413"/>
      <c r="I146" s="413"/>
      <c r="J146" s="413"/>
      <c r="K146" s="124"/>
      <c r="L146" s="124"/>
      <c r="M146" s="124"/>
      <c r="N146" s="124"/>
    </row>
    <row r="147" spans="1:16" ht="15" customHeight="1" x14ac:dyDescent="0.25">
      <c r="A147" s="124"/>
      <c r="B147" s="1989"/>
      <c r="C147" s="1989"/>
      <c r="D147" s="1989" t="s">
        <v>62</v>
      </c>
      <c r="E147" s="1989"/>
      <c r="F147" s="407"/>
      <c r="G147" s="408" t="s">
        <v>62</v>
      </c>
      <c r="H147" s="413"/>
      <c r="I147" s="413"/>
      <c r="J147" s="413"/>
      <c r="K147" s="124"/>
      <c r="L147" s="124"/>
      <c r="M147" s="124"/>
      <c r="N147" s="124"/>
      <c r="O147" s="37" t="s">
        <v>977</v>
      </c>
      <c r="P147" s="37" t="str">
        <f>IF(COUNTIF(D141:E147,"Select")=7,"",IF(COUNTIF(D141:E147,"Centralised Direct Expansion system")&lt;&gt;0,"Yes","No"))</f>
        <v/>
      </c>
    </row>
    <row r="148" spans="1:16" ht="18" customHeight="1" x14ac:dyDescent="0.25">
      <c r="A148" s="124"/>
      <c r="B148" s="124"/>
      <c r="C148" s="124"/>
      <c r="D148" s="124"/>
      <c r="E148" s="124"/>
      <c r="F148" s="124"/>
      <c r="G148" s="124"/>
      <c r="H148" s="124"/>
      <c r="I148" s="124"/>
      <c r="J148" s="124"/>
      <c r="K148" s="124"/>
      <c r="L148" s="124"/>
      <c r="M148" s="124"/>
      <c r="N148" s="124"/>
    </row>
    <row r="149" spans="1:16" ht="19.5" customHeight="1" x14ac:dyDescent="0.25">
      <c r="A149" s="124"/>
      <c r="B149" s="2012" t="s">
        <v>594</v>
      </c>
      <c r="C149" s="2012"/>
      <c r="D149" s="2012"/>
      <c r="E149" s="412" t="str">
        <f>IF(AND(P138="",P147=""),"",IF(OR(P138="Yes",P147="Yes"),"No","Yes"))</f>
        <v/>
      </c>
      <c r="F149" s="124"/>
      <c r="G149" s="124"/>
      <c r="H149" s="414"/>
      <c r="I149" s="124"/>
      <c r="J149" s="124"/>
      <c r="K149" s="124"/>
      <c r="L149" s="124"/>
      <c r="M149" s="124"/>
      <c r="N149" s="124"/>
    </row>
    <row r="150" spans="1:16" ht="19.5" customHeight="1" x14ac:dyDescent="0.25">
      <c r="A150" s="124"/>
      <c r="B150" s="2012" t="s">
        <v>593</v>
      </c>
      <c r="C150" s="2012"/>
      <c r="D150" s="2012"/>
      <c r="E150" s="412" t="str">
        <f>IF(COUNTBLANK(I141:I147)=7,"",IF(COUNTBLANK(J141:J147)=7,"",IF(COUNTIF(I141:I147,"&gt;2000")&lt;&gt;0,"No",IF(COUNTIF(J141:J147,"&gt;0.02")&lt;&gt;0,"No","Yes"))))</f>
        <v/>
      </c>
      <c r="F150" s="124"/>
      <c r="G150" s="124"/>
      <c r="H150" s="124"/>
      <c r="I150" s="124"/>
      <c r="J150" s="124"/>
      <c r="K150" s="124"/>
      <c r="L150" s="124"/>
      <c r="M150" s="124"/>
      <c r="N150" s="124"/>
    </row>
    <row r="151" spans="1:16" ht="19.5" customHeight="1" x14ac:dyDescent="0.25">
      <c r="A151" s="124"/>
      <c r="B151" s="2012" t="s">
        <v>597</v>
      </c>
      <c r="C151" s="2012"/>
      <c r="D151" s="2012"/>
      <c r="E151" s="412" t="str">
        <f>IF(COUNTBLANK(H141:H147)=7,"",IF((SUMIF(G141:G147,"natural refrigerant",H141:H147)+SUMIF(G141:G147,"HFO",H141:H147))/(SUM(H141:H147))&gt;=0.5,"Yes","No"))</f>
        <v/>
      </c>
      <c r="F151" s="124"/>
      <c r="G151" s="124"/>
      <c r="H151" s="124"/>
      <c r="I151" s="124"/>
      <c r="J151" s="124"/>
      <c r="K151" s="124"/>
      <c r="L151" s="124"/>
      <c r="M151" s="124"/>
      <c r="N151" s="124"/>
    </row>
    <row r="152" spans="1:16" ht="19.5" customHeight="1" x14ac:dyDescent="0.25">
      <c r="A152" s="124"/>
      <c r="B152" s="2012" t="s">
        <v>596</v>
      </c>
      <c r="C152" s="2012"/>
      <c r="D152" s="2012"/>
      <c r="E152" s="412" t="str">
        <f>IF(COUNTIF(D141:E147,"select")=7,"",IF(COUNTIF(D141:E147,"indirect system")&gt;0,"Yes","No"))</f>
        <v/>
      </c>
      <c r="F152" s="124"/>
      <c r="G152" s="124"/>
      <c r="H152" s="124"/>
      <c r="I152" s="124"/>
      <c r="J152" s="124"/>
      <c r="K152" s="124"/>
      <c r="L152" s="124"/>
      <c r="M152" s="124"/>
      <c r="N152" s="124"/>
    </row>
    <row r="153" spans="1:16" ht="19.5" customHeight="1" x14ac:dyDescent="0.25">
      <c r="A153" s="124"/>
      <c r="B153" s="124"/>
      <c r="C153" s="124"/>
      <c r="D153" s="124"/>
      <c r="E153" s="124"/>
      <c r="F153" s="124"/>
      <c r="G153" s="124"/>
      <c r="H153" s="124"/>
      <c r="I153" s="124"/>
      <c r="J153" s="124"/>
      <c r="K153" s="124"/>
      <c r="L153" s="124"/>
      <c r="M153" s="124"/>
      <c r="N153" s="124"/>
    </row>
    <row r="154" spans="1:16" ht="16.5" customHeight="1" x14ac:dyDescent="0.25">
      <c r="A154" s="1999" t="s">
        <v>97</v>
      </c>
      <c r="B154" s="1999"/>
      <c r="C154" s="1999"/>
      <c r="D154" s="124"/>
      <c r="E154" s="124"/>
      <c r="F154" s="124"/>
      <c r="G154" s="124"/>
      <c r="H154" s="124"/>
      <c r="I154" s="124"/>
      <c r="J154" s="124"/>
      <c r="K154" s="124"/>
      <c r="L154" s="124"/>
      <c r="M154" s="124"/>
      <c r="N154" s="124"/>
    </row>
    <row r="155" spans="1:16" x14ac:dyDescent="0.25">
      <c r="A155" s="124"/>
      <c r="B155" s="124"/>
      <c r="C155" s="124"/>
      <c r="D155" s="124"/>
      <c r="E155" s="124"/>
      <c r="F155" s="124"/>
      <c r="G155" s="124"/>
      <c r="H155" s="124"/>
      <c r="I155" s="124"/>
      <c r="J155" s="124"/>
      <c r="K155" s="124"/>
      <c r="L155" s="124"/>
      <c r="M155" s="124"/>
      <c r="N155" s="124"/>
    </row>
    <row r="156" spans="1:16" ht="21" customHeight="1" x14ac:dyDescent="0.25">
      <c r="A156" s="124"/>
      <c r="B156" s="2017" t="s">
        <v>98</v>
      </c>
      <c r="C156" s="2018"/>
      <c r="D156" s="2018"/>
      <c r="E156" s="2018"/>
      <c r="F156" s="2018"/>
      <c r="G156" s="2018"/>
      <c r="H156" s="787" t="s">
        <v>1297</v>
      </c>
      <c r="I156" s="1997" t="s">
        <v>1298</v>
      </c>
      <c r="J156" s="1998"/>
      <c r="K156" s="124"/>
      <c r="L156" s="124"/>
      <c r="M156" s="124"/>
      <c r="N156" s="124"/>
    </row>
    <row r="157" spans="1:16" ht="27" customHeight="1" x14ac:dyDescent="0.25">
      <c r="A157" s="124"/>
      <c r="B157" s="1644" t="str">
        <f>Submittals!H64</f>
        <v>Select the Submission Stage in Project Information</v>
      </c>
      <c r="C157" s="1645"/>
      <c r="D157" s="1645"/>
      <c r="E157" s="1645"/>
      <c r="F157" s="1645"/>
      <c r="G157" s="1646"/>
      <c r="H157" s="780" t="s">
        <v>62</v>
      </c>
      <c r="I157" s="1625"/>
      <c r="J157" s="1626"/>
      <c r="K157" s="124"/>
      <c r="L157" s="124"/>
      <c r="M157" s="124"/>
      <c r="N157" s="124"/>
      <c r="O157" s="37" t="str">
        <f>IF(OR(B157="/",B157="No evidence required at this submission stage"),"Yes",IF(H157="Submitted","Yes","No"))</f>
        <v>No</v>
      </c>
    </row>
    <row r="158" spans="1:16" ht="27" customHeight="1" x14ac:dyDescent="0.25">
      <c r="A158" s="124"/>
      <c r="B158" s="1644" t="str">
        <f>Submittals!H65</f>
        <v>Select the Submission Stage in Project Information</v>
      </c>
      <c r="C158" s="1645"/>
      <c r="D158" s="1645"/>
      <c r="E158" s="1645"/>
      <c r="F158" s="1645"/>
      <c r="G158" s="1646"/>
      <c r="H158" s="1259" t="s">
        <v>62</v>
      </c>
      <c r="I158" s="1625"/>
      <c r="J158" s="1626"/>
      <c r="K158" s="124"/>
      <c r="L158" s="124"/>
      <c r="M158" s="124"/>
      <c r="N158" s="124"/>
      <c r="O158" s="37" t="str">
        <f>IF(OR(B158="/",B158="No evidence required at this submission stage"),"Yes",IF(H158="Submitted","Yes","No"))</f>
        <v>No</v>
      </c>
    </row>
    <row r="159" spans="1:16" ht="27" customHeight="1" x14ac:dyDescent="0.25">
      <c r="A159" s="124"/>
      <c r="B159" s="1644" t="str">
        <f>Submittals!H66</f>
        <v>Select the Submission Stage in Project Information</v>
      </c>
      <c r="C159" s="1645"/>
      <c r="D159" s="1645"/>
      <c r="E159" s="1645"/>
      <c r="F159" s="1645"/>
      <c r="G159" s="1646"/>
      <c r="H159" s="780" t="s">
        <v>62</v>
      </c>
      <c r="I159" s="1687"/>
      <c r="J159" s="1688"/>
      <c r="K159" s="124"/>
      <c r="L159" s="124"/>
      <c r="M159" s="124"/>
      <c r="N159" s="124"/>
      <c r="O159" s="37" t="str">
        <f>IF(OR(B159="/",B159="No evidence required at this submission stage"),"Yes",IF(H159="Submitted","Yes","No"))</f>
        <v>No</v>
      </c>
    </row>
    <row r="160" spans="1:16" ht="16.5" customHeight="1" x14ac:dyDescent="0.25">
      <c r="A160" s="124"/>
      <c r="B160" s="128"/>
      <c r="C160" s="128"/>
      <c r="D160" s="128"/>
      <c r="E160" s="128"/>
      <c r="F160" s="124"/>
      <c r="G160" s="124"/>
      <c r="H160" s="124"/>
      <c r="I160" s="124"/>
      <c r="J160" s="124"/>
      <c r="K160" s="124"/>
      <c r="L160" s="124"/>
      <c r="M160" s="409"/>
      <c r="N160" s="409"/>
    </row>
    <row r="161" spans="1:14" ht="16.5" customHeight="1" x14ac:dyDescent="0.25">
      <c r="A161" s="1999" t="s">
        <v>8</v>
      </c>
      <c r="B161" s="1999"/>
      <c r="C161" s="1999"/>
      <c r="D161" s="124"/>
      <c r="E161" s="124"/>
      <c r="F161" s="124"/>
      <c r="G161" s="124"/>
      <c r="H161" s="124"/>
      <c r="I161" s="124"/>
      <c r="J161" s="124"/>
      <c r="K161" s="124"/>
      <c r="L161" s="124"/>
      <c r="M161" s="124"/>
      <c r="N161" s="124"/>
    </row>
    <row r="162" spans="1:14" x14ac:dyDescent="0.25">
      <c r="A162" s="128"/>
      <c r="B162" s="128"/>
      <c r="C162" s="128"/>
      <c r="D162" s="128"/>
      <c r="E162" s="128"/>
      <c r="F162" s="124"/>
      <c r="G162" s="124"/>
      <c r="H162" s="124"/>
      <c r="I162" s="124"/>
      <c r="J162" s="124"/>
      <c r="K162" s="124"/>
      <c r="L162" s="124"/>
      <c r="M162" s="124"/>
      <c r="N162" s="124"/>
    </row>
    <row r="163" spans="1:14" ht="18" customHeight="1" x14ac:dyDescent="0.25">
      <c r="A163" s="124"/>
      <c r="B163" s="385" t="s">
        <v>19</v>
      </c>
      <c r="C163" s="8">
        <f>IF(COUNTIF(E149:E152,"Yes")&gt;=2,1,0)</f>
        <v>0</v>
      </c>
      <c r="D163" s="128"/>
      <c r="E163" s="124"/>
      <c r="F163" s="124"/>
      <c r="G163" s="124"/>
      <c r="H163" s="124"/>
      <c r="I163" s="124"/>
      <c r="J163" s="124"/>
      <c r="K163" s="124"/>
      <c r="L163" s="124"/>
      <c r="M163" s="124"/>
      <c r="N163" s="124"/>
    </row>
    <row r="164" spans="1:14" ht="18" customHeight="1" x14ac:dyDescent="0.25">
      <c r="A164" s="124"/>
      <c r="B164" s="385" t="s">
        <v>151</v>
      </c>
      <c r="C164" s="116" t="str">
        <f>IF(AND(COUNTIF(O157:O159,"Yes")=3,C163&gt;0),"Yes","No")</f>
        <v>No</v>
      </c>
      <c r="D164" s="128"/>
      <c r="E164" s="124"/>
      <c r="F164" s="124"/>
      <c r="G164" s="124"/>
      <c r="H164" s="124"/>
      <c r="I164" s="124"/>
      <c r="J164" s="124"/>
      <c r="K164" s="124"/>
      <c r="L164" s="124"/>
      <c r="M164" s="124"/>
      <c r="N164" s="124"/>
    </row>
    <row r="165" spans="1:14" x14ac:dyDescent="0.25">
      <c r="A165" s="124"/>
      <c r="B165" s="128"/>
      <c r="C165" s="128"/>
      <c r="D165" s="128"/>
      <c r="E165" s="128"/>
      <c r="F165" s="124"/>
      <c r="G165" s="124"/>
      <c r="H165" s="124"/>
      <c r="I165" s="124"/>
      <c r="J165" s="124"/>
      <c r="K165" s="124"/>
      <c r="L165" s="124"/>
      <c r="M165" s="124"/>
      <c r="N165" s="124"/>
    </row>
    <row r="166" spans="1:14" ht="15" hidden="1" customHeight="1" x14ac:dyDescent="0.25"/>
    <row r="167" spans="1:14" ht="15" hidden="1" customHeight="1" x14ac:dyDescent="0.25"/>
    <row r="168" spans="1:14" ht="15" hidden="1" customHeight="1" x14ac:dyDescent="0.25"/>
    <row r="169" spans="1:14" ht="15" hidden="1" customHeight="1" x14ac:dyDescent="0.25"/>
    <row r="170" spans="1:14" ht="15" hidden="1" customHeight="1" x14ac:dyDescent="0.25"/>
  </sheetData>
  <sheetProtection algorithmName="SHA-512" hashValue="ZqLKXOgXzutbZB4CHkamnf/vl12ZLA/1XpxH9zeY2uaS4ZKjQAA25SnKYRtdJXDRK1ttFcaLQqWZopJyv2Fjpg==" saltValue="h6cDB3N1dWMsXQhTbhPbig==" spinCount="100000" sheet="1" objects="1" scenarios="1"/>
  <mergeCells count="122">
    <mergeCell ref="B156:G156"/>
    <mergeCell ref="B133:C133"/>
    <mergeCell ref="D133:E133"/>
    <mergeCell ref="B134:C134"/>
    <mergeCell ref="D134:E134"/>
    <mergeCell ref="B150:D150"/>
    <mergeCell ref="B151:D151"/>
    <mergeCell ref="B152:D152"/>
    <mergeCell ref="B145:C145"/>
    <mergeCell ref="B15:G15"/>
    <mergeCell ref="D136:E136"/>
    <mergeCell ref="B106:G106"/>
    <mergeCell ref="I40:J40"/>
    <mergeCell ref="B91:C91"/>
    <mergeCell ref="B129:K129"/>
    <mergeCell ref="B97:C97"/>
    <mergeCell ref="B98:C98"/>
    <mergeCell ref="B20:M20"/>
    <mergeCell ref="B21:M21"/>
    <mergeCell ref="B22:M22"/>
    <mergeCell ref="B23:M23"/>
    <mergeCell ref="B24:M24"/>
    <mergeCell ref="B50:G50"/>
    <mergeCell ref="I50:J50"/>
    <mergeCell ref="B109:G109"/>
    <mergeCell ref="B131:I131"/>
    <mergeCell ref="A1:N1"/>
    <mergeCell ref="A9:N9"/>
    <mergeCell ref="A18:N18"/>
    <mergeCell ref="A26:N26"/>
    <mergeCell ref="A59:N59"/>
    <mergeCell ref="B41:E41"/>
    <mergeCell ref="B48:G48"/>
    <mergeCell ref="B107:G107"/>
    <mergeCell ref="B47:G47"/>
    <mergeCell ref="B68:E68"/>
    <mergeCell ref="B87:C87"/>
    <mergeCell ref="B88:C88"/>
    <mergeCell ref="B100:C100"/>
    <mergeCell ref="B95:C95"/>
    <mergeCell ref="B99:C99"/>
    <mergeCell ref="B96:C96"/>
    <mergeCell ref="B92:C92"/>
    <mergeCell ref="B93:C93"/>
    <mergeCell ref="B90:C90"/>
    <mergeCell ref="I47:J47"/>
    <mergeCell ref="A5:N7"/>
    <mergeCell ref="B37:E37"/>
    <mergeCell ref="G40:H40"/>
    <mergeCell ref="B13:G13"/>
    <mergeCell ref="A161:C161"/>
    <mergeCell ref="B102:D102"/>
    <mergeCell ref="A116:N116"/>
    <mergeCell ref="B51:G51"/>
    <mergeCell ref="I51:J51"/>
    <mergeCell ref="D135:E135"/>
    <mergeCell ref="B136:C136"/>
    <mergeCell ref="B108:G108"/>
    <mergeCell ref="I108:J108"/>
    <mergeCell ref="D145:E145"/>
    <mergeCell ref="B146:C146"/>
    <mergeCell ref="D147:E147"/>
    <mergeCell ref="B140:C140"/>
    <mergeCell ref="D146:E146"/>
    <mergeCell ref="B147:C147"/>
    <mergeCell ref="I159:J159"/>
    <mergeCell ref="I157:J157"/>
    <mergeCell ref="D141:E141"/>
    <mergeCell ref="D142:E142"/>
    <mergeCell ref="D143:E143"/>
    <mergeCell ref="D144:E144"/>
    <mergeCell ref="B138:C138"/>
    <mergeCell ref="D138:E138"/>
    <mergeCell ref="B159:G159"/>
    <mergeCell ref="K2:M4"/>
    <mergeCell ref="B157:G157"/>
    <mergeCell ref="A61:C61"/>
    <mergeCell ref="A75:C75"/>
    <mergeCell ref="I48:J48"/>
    <mergeCell ref="I52:J52"/>
    <mergeCell ref="B16:G16"/>
    <mergeCell ref="B39:E39"/>
    <mergeCell ref="B40:E40"/>
    <mergeCell ref="B11:C11"/>
    <mergeCell ref="D11:E11"/>
    <mergeCell ref="A28:C28"/>
    <mergeCell ref="B127:K127"/>
    <mergeCell ref="B128:K128"/>
    <mergeCell ref="B141:C141"/>
    <mergeCell ref="B142:C142"/>
    <mergeCell ref="B52:G52"/>
    <mergeCell ref="B94:C94"/>
    <mergeCell ref="B89:C89"/>
    <mergeCell ref="A54:C54"/>
    <mergeCell ref="B149:D149"/>
    <mergeCell ref="B30:K30"/>
    <mergeCell ref="A45:C45"/>
    <mergeCell ref="B14:G14"/>
    <mergeCell ref="N2:N3"/>
    <mergeCell ref="B137:C137"/>
    <mergeCell ref="D137:E137"/>
    <mergeCell ref="B135:C135"/>
    <mergeCell ref="B143:C143"/>
    <mergeCell ref="B144:C144"/>
    <mergeCell ref="D140:E140"/>
    <mergeCell ref="B158:G158"/>
    <mergeCell ref="I158:J158"/>
    <mergeCell ref="B31:K31"/>
    <mergeCell ref="B32:K32"/>
    <mergeCell ref="B33:K33"/>
    <mergeCell ref="B71:J71"/>
    <mergeCell ref="B72:J72"/>
    <mergeCell ref="B73:J73"/>
    <mergeCell ref="B70:J70"/>
    <mergeCell ref="I106:J106"/>
    <mergeCell ref="I156:J156"/>
    <mergeCell ref="I107:J107"/>
    <mergeCell ref="I109:J109"/>
    <mergeCell ref="A104:C104"/>
    <mergeCell ref="A111:C111"/>
    <mergeCell ref="A118:C118"/>
    <mergeCell ref="A154:C154"/>
  </mergeCells>
  <conditionalFormatting sqref="I48:J48 H52:J52">
    <cfRule type="expression" dxfId="385" priority="13">
      <formula>$B48="/"</formula>
    </cfRule>
    <cfRule type="expression" dxfId="384" priority="14">
      <formula>$B48="No evidence required at this submission stage"</formula>
    </cfRule>
  </conditionalFormatting>
  <conditionalFormatting sqref="H107:J107 H109:J109">
    <cfRule type="expression" dxfId="383" priority="11">
      <formula>$B107="/"</formula>
    </cfRule>
    <cfRule type="expression" dxfId="382" priority="12">
      <formula>$B107="No evidence required at this submission stage"</formula>
    </cfRule>
  </conditionalFormatting>
  <conditionalFormatting sqref="H157:J157 H159:J159">
    <cfRule type="expression" dxfId="381" priority="9">
      <formula>$B157="/"</formula>
    </cfRule>
    <cfRule type="expression" dxfId="380" priority="10">
      <formula>$B157="No evidence required at this submission stage"</formula>
    </cfRule>
  </conditionalFormatting>
  <conditionalFormatting sqref="H51:J51">
    <cfRule type="expression" dxfId="379" priority="7">
      <formula>$B51="/"</formula>
    </cfRule>
    <cfRule type="expression" dxfId="378" priority="8">
      <formula>$B51="No evidence required at this submission stage"</formula>
    </cfRule>
  </conditionalFormatting>
  <conditionalFormatting sqref="H48">
    <cfRule type="expression" dxfId="377" priority="5">
      <formula>$B48="/"</formula>
    </cfRule>
    <cfRule type="expression" dxfId="376" priority="6">
      <formula>$B48="No evidence required at this submission stage"</formula>
    </cfRule>
  </conditionalFormatting>
  <conditionalFormatting sqref="H108:J108">
    <cfRule type="expression" dxfId="375" priority="3">
      <formula>$B108="/"</formula>
    </cfRule>
    <cfRule type="expression" dxfId="374" priority="4">
      <formula>$B108="No evidence required at this submission stage"</formula>
    </cfRule>
  </conditionalFormatting>
  <conditionalFormatting sqref="H158:J158">
    <cfRule type="expression" dxfId="373" priority="1">
      <formula>$B158="/"</formula>
    </cfRule>
    <cfRule type="expression" dxfId="372" priority="2">
      <formula>$B158="No evidence required at this submission stage"</formula>
    </cfRule>
  </conditionalFormatting>
  <dataValidations count="8">
    <dataValidation type="list" allowBlank="1" showInputMessage="1" showErrorMessage="1" sqref="F68 F37 F39:F41">
      <formula1>"Select,Yes,No"</formula1>
    </dataValidation>
    <dataValidation type="list" allowBlank="1" showInputMessage="1" showErrorMessage="1" sqref="G141:G147 G134:G138">
      <formula1>"Select,Natural refrigerant,HFO,HFC,HCFC"</formula1>
    </dataValidation>
    <dataValidation type="list" allowBlank="1" showInputMessage="1" showErrorMessage="1" sqref="D141:E147">
      <formula1>"Select,Centralised Direct Expansion system,Distributed Direct Expansion system,Cascade system,Indirect system,other"</formula1>
    </dataValidation>
    <dataValidation type="list" allowBlank="1" showInputMessage="1" showErrorMessage="1" sqref="D134:E138">
      <formula1>"Select,single-split,multi-split,VRF,packaged unit,chiller"</formula1>
    </dataValidation>
    <dataValidation allowBlank="1" showInputMessage="1" showErrorMessage="1" prompt="Different air-conditiong model can be put together if they have the same system type and the same refrigerants" sqref="B134:C134 B136:C136"/>
    <dataValidation type="list" allowBlank="1" showInputMessage="1" showErrorMessage="1" sqref="D11:E11">
      <formula1>"Select,Option A, Option B,Option C"</formula1>
    </dataValidation>
    <dataValidation type="list" allowBlank="1" showInputMessage="1" showErrorMessage="1" sqref="H107:H109 H51:H52 H157:H159">
      <formula1>"Select,Submitted,Not submitted"</formula1>
    </dataValidation>
    <dataValidation type="list" allowBlank="1" showInputMessage="1" showErrorMessage="1" sqref="H48">
      <formula1>Sub_FC</formula1>
    </dataValidation>
  </dataValidations>
  <hyperlinks>
    <hyperlink ref="N2" location="'WP-2 Construction Waste'!B3" tooltip="WP-2" display="WP-2"/>
    <hyperlink ref="N4" location="'WP-3 Operation Waste Management'!B3" tooltip="WP-3" display="WP-3"/>
    <hyperlink ref="N2:N3" location="'WP-PR-1 &amp; WP-2 Fit-out Waste'!B3" tooltip="WP-PR-1 &amp; WP-2" display="WP-PR-1 &amp; WP-2"/>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4A562A"/>
  </sheetPr>
  <dimension ref="A1:O231"/>
  <sheetViews>
    <sheetView showRowColHeaders="0" zoomScaleNormal="100" workbookViewId="0">
      <pane ySplit="8" topLeftCell="A9" activePane="bottomLeft" state="frozen"/>
      <selection activeCell="H22" sqref="H22"/>
      <selection pane="bottomLeft" activeCell="D8" sqref="D8"/>
    </sheetView>
  </sheetViews>
  <sheetFormatPr defaultColWidth="0" defaultRowHeight="15" customHeight="1" zeroHeight="1" x14ac:dyDescent="0.25"/>
  <cols>
    <col min="1" max="1" width="5.7109375" style="37" customWidth="1"/>
    <col min="2" max="2" width="18.42578125" style="37" customWidth="1"/>
    <col min="3" max="3" width="16.85546875" style="37" customWidth="1"/>
    <col min="4" max="4" width="18.42578125" style="37" customWidth="1"/>
    <col min="5" max="5" width="20" style="37" customWidth="1"/>
    <col min="6" max="6" width="18.42578125" style="37" customWidth="1"/>
    <col min="7" max="7" width="19.42578125" style="37" customWidth="1"/>
    <col min="8" max="8" width="22.28515625" style="37" customWidth="1"/>
    <col min="9" max="9" width="16.7109375" style="37" customWidth="1"/>
    <col min="10" max="10" width="11.85546875" style="37" customWidth="1"/>
    <col min="11" max="11" width="9.140625" style="37" customWidth="1"/>
    <col min="12" max="15" width="0" style="37" hidden="1" customWidth="1"/>
    <col min="16" max="16384" width="9.140625" style="37" hidden="1"/>
  </cols>
  <sheetData>
    <row r="1" spans="1:12" ht="25.5" customHeight="1" x14ac:dyDescent="0.25">
      <c r="A1" s="2016" t="s">
        <v>2309</v>
      </c>
      <c r="B1" s="2016"/>
      <c r="C1" s="2016"/>
      <c r="D1" s="2016"/>
      <c r="E1" s="2016"/>
      <c r="F1" s="2016"/>
      <c r="G1" s="2016"/>
      <c r="H1" s="2016"/>
      <c r="I1" s="2016"/>
      <c r="J1" s="2016"/>
      <c r="K1" s="2016"/>
    </row>
    <row r="2" spans="1:12" ht="15" customHeight="1" x14ac:dyDescent="0.25">
      <c r="A2" s="48"/>
      <c r="B2" s="49"/>
      <c r="C2" s="49"/>
      <c r="D2" s="49"/>
      <c r="E2" s="49"/>
      <c r="F2" s="48"/>
      <c r="G2" s="48"/>
      <c r="H2" s="48"/>
      <c r="I2" s="1694" t="s">
        <v>352</v>
      </c>
      <c r="J2" s="1694"/>
      <c r="K2" s="313" t="s">
        <v>305</v>
      </c>
    </row>
    <row r="3" spans="1:12" ht="15" customHeight="1" x14ac:dyDescent="0.25">
      <c r="A3" s="48"/>
      <c r="B3" s="49"/>
      <c r="C3" s="49"/>
      <c r="D3" s="49"/>
      <c r="E3" s="49"/>
      <c r="F3" s="48"/>
      <c r="G3" s="48"/>
      <c r="H3" s="48"/>
      <c r="I3" s="1694"/>
      <c r="J3" s="1694"/>
      <c r="K3" s="313" t="s">
        <v>310</v>
      </c>
    </row>
    <row r="4" spans="1:12" ht="15" customHeight="1" x14ac:dyDescent="0.25">
      <c r="A4" s="48"/>
      <c r="B4" s="49"/>
      <c r="C4" s="49"/>
      <c r="D4" s="49"/>
      <c r="E4" s="49"/>
      <c r="F4" s="48"/>
      <c r="G4" s="48"/>
      <c r="H4" s="48"/>
      <c r="I4" s="1695"/>
      <c r="J4" s="1695"/>
      <c r="K4" s="132"/>
    </row>
    <row r="5" spans="1:12" ht="21" customHeight="1" x14ac:dyDescent="0.25">
      <c r="A5" s="1704" t="s">
        <v>2859</v>
      </c>
      <c r="B5" s="1705"/>
      <c r="C5" s="1705"/>
      <c r="D5" s="1705"/>
      <c r="E5" s="1705"/>
      <c r="F5" s="1705"/>
      <c r="G5" s="1705"/>
      <c r="H5" s="1705"/>
      <c r="I5" s="1705"/>
      <c r="J5" s="1705"/>
      <c r="K5" s="1706"/>
      <c r="L5" s="858"/>
    </row>
    <row r="6" spans="1:12" ht="21" customHeight="1" x14ac:dyDescent="0.25">
      <c r="A6" s="1707"/>
      <c r="B6" s="1708"/>
      <c r="C6" s="1708"/>
      <c r="D6" s="1708"/>
      <c r="E6" s="1708"/>
      <c r="F6" s="1708"/>
      <c r="G6" s="1708"/>
      <c r="H6" s="1708"/>
      <c r="I6" s="1708"/>
      <c r="J6" s="1708"/>
      <c r="K6" s="1709"/>
    </row>
    <row r="7" spans="1:12" ht="21" customHeight="1" x14ac:dyDescent="0.25">
      <c r="A7" s="1710"/>
      <c r="B7" s="1711"/>
      <c r="C7" s="1711"/>
      <c r="D7" s="1711"/>
      <c r="E7" s="1711"/>
      <c r="F7" s="1711"/>
      <c r="G7" s="1711"/>
      <c r="H7" s="1711"/>
      <c r="I7" s="1711"/>
      <c r="J7" s="1711"/>
      <c r="K7" s="1712"/>
    </row>
    <row r="8" spans="1:12" ht="12" customHeight="1" x14ac:dyDescent="0.25">
      <c r="A8" s="48"/>
      <c r="B8" s="49"/>
      <c r="C8" s="49"/>
      <c r="D8" s="49"/>
      <c r="E8" s="49"/>
      <c r="F8" s="48"/>
      <c r="G8" s="48"/>
      <c r="H8" s="48"/>
      <c r="I8" s="48"/>
      <c r="J8" s="48"/>
      <c r="K8" s="48"/>
    </row>
    <row r="9" spans="1:12" ht="18" customHeight="1" x14ac:dyDescent="0.25">
      <c r="A9" s="2014" t="s">
        <v>95</v>
      </c>
      <c r="B9" s="2014"/>
      <c r="C9" s="2014"/>
      <c r="D9" s="2014"/>
      <c r="E9" s="2014"/>
      <c r="F9" s="2014"/>
      <c r="G9" s="2014"/>
      <c r="H9" s="2014"/>
      <c r="I9" s="2014"/>
      <c r="J9" s="2014"/>
      <c r="K9" s="2014"/>
    </row>
    <row r="10" spans="1:12" ht="12.75" customHeight="1" x14ac:dyDescent="0.25">
      <c r="A10" s="48"/>
      <c r="B10" s="49"/>
      <c r="C10" s="49"/>
      <c r="D10" s="49"/>
      <c r="E10" s="49"/>
      <c r="F10" s="48"/>
      <c r="G10" s="48"/>
      <c r="H10" s="48"/>
      <c r="I10" s="48"/>
      <c r="J10" s="48"/>
      <c r="K10" s="48"/>
    </row>
    <row r="11" spans="1:12" ht="21" customHeight="1" x14ac:dyDescent="0.25">
      <c r="A11" s="318"/>
      <c r="B11" s="2061" t="s">
        <v>359</v>
      </c>
      <c r="C11" s="2062"/>
      <c r="D11" s="2062"/>
      <c r="E11" s="2062"/>
      <c r="F11" s="450" t="s">
        <v>360</v>
      </c>
      <c r="G11" s="384" t="s">
        <v>151</v>
      </c>
      <c r="H11" s="48"/>
      <c r="I11" s="48"/>
      <c r="J11" s="48"/>
      <c r="K11" s="48"/>
    </row>
    <row r="12" spans="1:12" ht="21" customHeight="1" x14ac:dyDescent="0.25">
      <c r="A12" s="318"/>
      <c r="B12" s="1854" t="s">
        <v>2421</v>
      </c>
      <c r="C12" s="1855"/>
      <c r="D12" s="1855"/>
      <c r="E12" s="1856"/>
      <c r="F12" s="547" t="str">
        <f>C61</f>
        <v>No</v>
      </c>
      <c r="G12" s="548" t="str">
        <f>C62</f>
        <v>No</v>
      </c>
      <c r="H12" s="48"/>
      <c r="I12" s="48"/>
      <c r="J12" s="48"/>
      <c r="K12" s="48"/>
    </row>
    <row r="13" spans="1:12" ht="12.75" customHeight="1" x14ac:dyDescent="0.25">
      <c r="A13" s="48"/>
      <c r="B13" s="48"/>
      <c r="C13" s="48"/>
      <c r="D13" s="48"/>
      <c r="E13" s="48"/>
      <c r="F13" s="48"/>
      <c r="G13" s="48"/>
      <c r="H13" s="48"/>
      <c r="I13" s="48"/>
      <c r="J13" s="48"/>
      <c r="K13" s="48"/>
    </row>
    <row r="14" spans="1:12" ht="21" customHeight="1" x14ac:dyDescent="0.25">
      <c r="A14" s="48"/>
      <c r="B14" s="2025" t="s">
        <v>96</v>
      </c>
      <c r="C14" s="2026"/>
      <c r="D14" s="2026"/>
      <c r="E14" s="2026"/>
      <c r="F14" s="450" t="s">
        <v>75</v>
      </c>
      <c r="G14" s="450" t="s">
        <v>19</v>
      </c>
      <c r="H14" s="702" t="s">
        <v>151</v>
      </c>
      <c r="I14" s="283"/>
      <c r="J14" s="48"/>
      <c r="K14" s="48"/>
    </row>
    <row r="15" spans="1:12" ht="40.5" customHeight="1" x14ac:dyDescent="0.25">
      <c r="A15" s="48"/>
      <c r="B15" s="1780" t="s">
        <v>2422</v>
      </c>
      <c r="C15" s="2059"/>
      <c r="D15" s="2059"/>
      <c r="E15" s="2060"/>
      <c r="F15" s="279">
        <v>2</v>
      </c>
      <c r="G15" s="320">
        <f>C101</f>
        <v>0</v>
      </c>
      <c r="H15" s="320" t="str">
        <f>C102</f>
        <v>No</v>
      </c>
      <c r="I15" s="48"/>
      <c r="J15" s="48"/>
      <c r="K15" s="48"/>
      <c r="L15" s="37" t="str">
        <f>IF(G15&lt;&gt;0,IF(H15="No","No","Yes"),"Yes")</f>
        <v>Yes</v>
      </c>
    </row>
    <row r="16" spans="1:12" ht="33" customHeight="1" x14ac:dyDescent="0.25">
      <c r="A16" s="48"/>
      <c r="B16" s="1780" t="s">
        <v>2360</v>
      </c>
      <c r="C16" s="2059" t="s">
        <v>72</v>
      </c>
      <c r="D16" s="2059" t="s">
        <v>72</v>
      </c>
      <c r="E16" s="2060" t="s">
        <v>72</v>
      </c>
      <c r="F16" s="300">
        <v>1</v>
      </c>
      <c r="G16" s="320">
        <f>C129</f>
        <v>0</v>
      </c>
      <c r="H16" s="320" t="str">
        <f>C130</f>
        <v>No</v>
      </c>
      <c r="I16" s="48"/>
      <c r="J16" s="48"/>
      <c r="K16" s="48"/>
      <c r="L16" s="37" t="str">
        <f>IF(G16&lt;&gt;0,IF(H16="No","No","Yes"),"Yes")</f>
        <v>Yes</v>
      </c>
    </row>
    <row r="17" spans="1:11" ht="19.5" customHeight="1" x14ac:dyDescent="0.25">
      <c r="A17" s="48"/>
      <c r="B17" s="1713" t="s">
        <v>29</v>
      </c>
      <c r="C17" s="1740"/>
      <c r="D17" s="1740"/>
      <c r="E17" s="1741"/>
      <c r="F17" s="612">
        <v>2</v>
      </c>
      <c r="G17" s="612">
        <f>MIN(2,G15+G16)</f>
        <v>0</v>
      </c>
      <c r="H17" s="612" t="str">
        <f>IF(COUNTIF(H15:H16,"No")=2,"No",IF(COUNTIF(L15:L16,"Yes")=2,"Yes","No"))</f>
        <v>No</v>
      </c>
      <c r="J17" s="48"/>
      <c r="K17" s="48"/>
    </row>
    <row r="18" spans="1:11" ht="18" customHeight="1" x14ac:dyDescent="0.25">
      <c r="A18" s="48"/>
      <c r="B18" s="49"/>
      <c r="C18" s="49"/>
      <c r="D18" s="49"/>
      <c r="E18" s="49"/>
      <c r="F18" s="48"/>
      <c r="G18" s="48"/>
      <c r="H18" s="48"/>
      <c r="I18" s="48"/>
      <c r="J18" s="48"/>
      <c r="K18" s="48"/>
    </row>
    <row r="19" spans="1:11" ht="18" customHeight="1" x14ac:dyDescent="0.25">
      <c r="A19" s="2014" t="s">
        <v>2312</v>
      </c>
      <c r="B19" s="2014"/>
      <c r="C19" s="2014"/>
      <c r="D19" s="2014"/>
      <c r="E19" s="2014"/>
      <c r="F19" s="2014"/>
      <c r="G19" s="2014"/>
      <c r="H19" s="2014"/>
      <c r="I19" s="2014"/>
      <c r="J19" s="2014"/>
      <c r="K19" s="2014"/>
    </row>
    <row r="20" spans="1:11" x14ac:dyDescent="0.25">
      <c r="A20" s="49"/>
      <c r="B20" s="49"/>
      <c r="C20" s="49"/>
      <c r="D20" s="49"/>
      <c r="E20" s="49"/>
      <c r="F20" s="48"/>
      <c r="G20" s="48"/>
      <c r="H20" s="48"/>
      <c r="I20" s="48"/>
      <c r="J20" s="48"/>
      <c r="K20" s="48"/>
    </row>
    <row r="21" spans="1:11" ht="15.75" x14ac:dyDescent="0.25">
      <c r="A21" s="382" t="s">
        <v>117</v>
      </c>
      <c r="B21" s="383"/>
      <c r="C21" s="314"/>
      <c r="D21" s="49"/>
      <c r="E21" s="49"/>
      <c r="F21" s="49"/>
      <c r="G21" s="49"/>
      <c r="H21" s="49"/>
      <c r="I21" s="49"/>
      <c r="J21" s="49"/>
      <c r="K21" s="49"/>
    </row>
    <row r="22" spans="1:11" ht="12" customHeight="1" x14ac:dyDescent="0.25">
      <c r="A22" s="48"/>
      <c r="B22" s="49"/>
      <c r="C22" s="49"/>
      <c r="D22" s="49"/>
      <c r="E22" s="49"/>
      <c r="F22" s="48"/>
      <c r="G22" s="48"/>
      <c r="H22" s="48"/>
      <c r="I22" s="48"/>
      <c r="J22" s="48"/>
      <c r="K22" s="48"/>
    </row>
    <row r="23" spans="1:11" ht="15" customHeight="1" x14ac:dyDescent="0.25">
      <c r="A23" s="48"/>
      <c r="B23" s="2063" t="s">
        <v>2421</v>
      </c>
      <c r="C23" s="2063"/>
      <c r="D23" s="2063"/>
      <c r="E23" s="2063"/>
      <c r="F23" s="2063"/>
      <c r="G23" s="2063"/>
      <c r="H23" s="2063"/>
      <c r="I23" s="2063"/>
      <c r="J23" s="2063"/>
      <c r="K23" s="48"/>
    </row>
    <row r="24" spans="1:11" ht="15" customHeight="1" x14ac:dyDescent="0.25">
      <c r="A24" s="48"/>
      <c r="B24" s="373"/>
      <c r="C24" s="373"/>
      <c r="D24" s="373"/>
      <c r="E24" s="373"/>
      <c r="F24" s="373"/>
      <c r="G24" s="373"/>
      <c r="H24" s="373"/>
      <c r="I24" s="373"/>
      <c r="J24" s="373"/>
      <c r="K24" s="48"/>
    </row>
    <row r="25" spans="1:11" ht="15" customHeight="1" x14ac:dyDescent="0.25">
      <c r="A25" s="48"/>
      <c r="B25" s="558" t="s">
        <v>1112</v>
      </c>
      <c r="C25" s="655"/>
      <c r="D25" s="655"/>
      <c r="E25" s="655"/>
      <c r="F25" s="655"/>
      <c r="G25" s="655"/>
      <c r="H25" s="655"/>
      <c r="I25" s="655"/>
      <c r="J25" s="656"/>
      <c r="K25" s="48"/>
    </row>
    <row r="26" spans="1:11" ht="15" customHeight="1" x14ac:dyDescent="0.25">
      <c r="A26" s="48"/>
      <c r="B26" s="716" t="s">
        <v>1113</v>
      </c>
      <c r="C26" s="657"/>
      <c r="D26" s="657"/>
      <c r="E26" s="657"/>
      <c r="F26" s="657"/>
      <c r="G26" s="657"/>
      <c r="H26" s="657"/>
      <c r="I26" s="657"/>
      <c r="J26" s="658"/>
      <c r="K26" s="48"/>
    </row>
    <row r="27" spans="1:11" ht="15" customHeight="1" x14ac:dyDescent="0.25">
      <c r="A27" s="48"/>
      <c r="B27" s="716" t="s">
        <v>1114</v>
      </c>
      <c r="C27" s="657"/>
      <c r="D27" s="657"/>
      <c r="E27" s="657"/>
      <c r="F27" s="657"/>
      <c r="G27" s="657"/>
      <c r="H27" s="657"/>
      <c r="I27" s="657"/>
      <c r="J27" s="658"/>
      <c r="K27" s="48"/>
    </row>
    <row r="28" spans="1:11" ht="15" customHeight="1" x14ac:dyDescent="0.25">
      <c r="A28" s="48"/>
      <c r="B28" s="716" t="s">
        <v>1115</v>
      </c>
      <c r="C28" s="657"/>
      <c r="D28" s="657"/>
      <c r="E28" s="657"/>
      <c r="F28" s="657"/>
      <c r="G28" s="657"/>
      <c r="H28" s="657"/>
      <c r="I28" s="657"/>
      <c r="J28" s="658"/>
      <c r="K28" s="48"/>
    </row>
    <row r="29" spans="1:11" ht="15" customHeight="1" x14ac:dyDescent="0.25">
      <c r="A29" s="48"/>
      <c r="B29" s="716" t="s">
        <v>1116</v>
      </c>
      <c r="C29" s="657"/>
      <c r="D29" s="657"/>
      <c r="E29" s="657"/>
      <c r="F29" s="657"/>
      <c r="G29" s="657"/>
      <c r="H29" s="657"/>
      <c r="I29" s="657"/>
      <c r="J29" s="658"/>
      <c r="K29" s="48"/>
    </row>
    <row r="30" spans="1:11" ht="15" customHeight="1" x14ac:dyDescent="0.25">
      <c r="A30" s="48"/>
      <c r="B30" s="716" t="s">
        <v>1117</v>
      </c>
      <c r="C30" s="657"/>
      <c r="D30" s="657"/>
      <c r="E30" s="657"/>
      <c r="F30" s="657"/>
      <c r="G30" s="657"/>
      <c r="H30" s="657"/>
      <c r="I30" s="657"/>
      <c r="J30" s="658"/>
      <c r="K30" s="48"/>
    </row>
    <row r="31" spans="1:11" ht="15" customHeight="1" x14ac:dyDescent="0.25">
      <c r="A31" s="48"/>
      <c r="B31" s="589" t="s">
        <v>1118</v>
      </c>
      <c r="C31" s="659"/>
      <c r="D31" s="659"/>
      <c r="E31" s="659"/>
      <c r="F31" s="659"/>
      <c r="G31" s="659"/>
      <c r="H31" s="659"/>
      <c r="I31" s="659"/>
      <c r="J31" s="660"/>
      <c r="K31" s="48"/>
    </row>
    <row r="32" spans="1:11" ht="15" customHeight="1" x14ac:dyDescent="0.25">
      <c r="A32" s="48"/>
      <c r="B32" s="651"/>
      <c r="C32" s="651"/>
      <c r="D32" s="651"/>
      <c r="E32" s="651"/>
      <c r="F32" s="651"/>
      <c r="G32" s="651"/>
      <c r="H32" s="651"/>
      <c r="I32" s="651"/>
      <c r="J32" s="651"/>
      <c r="K32" s="48"/>
    </row>
    <row r="33" spans="1:14" x14ac:dyDescent="0.25">
      <c r="A33" s="48"/>
      <c r="B33" s="709" t="s">
        <v>1119</v>
      </c>
      <c r="C33" s="698"/>
      <c r="D33" s="698"/>
      <c r="E33" s="698"/>
      <c r="F33" s="698"/>
      <c r="G33" s="698"/>
      <c r="H33" s="698"/>
      <c r="I33" s="698"/>
      <c r="J33" s="698"/>
      <c r="K33" s="48"/>
    </row>
    <row r="34" spans="1:14" x14ac:dyDescent="0.25">
      <c r="A34" s="48"/>
      <c r="B34" s="709"/>
      <c r="C34" s="698"/>
      <c r="D34" s="698"/>
      <c r="E34" s="698"/>
      <c r="F34" s="698"/>
      <c r="G34" s="698"/>
      <c r="H34" s="698"/>
      <c r="I34" s="698"/>
      <c r="J34" s="698"/>
      <c r="K34" s="48"/>
    </row>
    <row r="35" spans="1:14" ht="18" customHeight="1" x14ac:dyDescent="0.25">
      <c r="A35" s="48"/>
      <c r="B35" s="1884" t="s">
        <v>1214</v>
      </c>
      <c r="C35" s="1885"/>
      <c r="D35" s="1885"/>
      <c r="E35" s="1885"/>
      <c r="F35" s="2065"/>
      <c r="G35" s="155"/>
      <c r="H35" s="651"/>
      <c r="I35" s="651"/>
      <c r="J35" s="651"/>
      <c r="K35" s="48"/>
    </row>
    <row r="36" spans="1:14" ht="15" customHeight="1" x14ac:dyDescent="0.25">
      <c r="A36" s="48"/>
      <c r="B36" s="714"/>
      <c r="C36" s="698"/>
      <c r="D36" s="698"/>
      <c r="E36" s="698"/>
      <c r="F36" s="698"/>
      <c r="G36" s="698"/>
      <c r="H36" s="698"/>
      <c r="I36" s="698"/>
      <c r="J36" s="698"/>
      <c r="K36" s="48"/>
    </row>
    <row r="37" spans="1:14" ht="15" customHeight="1" x14ac:dyDescent="0.25">
      <c r="A37" s="48"/>
      <c r="B37" s="665" t="s">
        <v>180</v>
      </c>
      <c r="C37" s="49"/>
      <c r="D37" s="49"/>
      <c r="E37" s="49"/>
      <c r="F37" s="48"/>
      <c r="G37" s="48"/>
      <c r="H37" s="48"/>
      <c r="I37" s="48"/>
      <c r="J37" s="48"/>
      <c r="K37" s="48"/>
    </row>
    <row r="38" spans="1:14" ht="10.5" customHeight="1" x14ac:dyDescent="0.25">
      <c r="A38" s="48"/>
      <c r="B38" s="715"/>
      <c r="C38" s="49"/>
      <c r="D38" s="49"/>
      <c r="E38" s="49"/>
      <c r="F38" s="48"/>
      <c r="G38" s="48"/>
      <c r="H38" s="48"/>
      <c r="I38" s="48"/>
      <c r="J38" s="48"/>
      <c r="K38" s="48"/>
    </row>
    <row r="39" spans="1:14" ht="32.25" customHeight="1" x14ac:dyDescent="0.25">
      <c r="A39" s="48"/>
      <c r="B39" s="730" t="s">
        <v>176</v>
      </c>
      <c r="C39" s="758" t="s">
        <v>1147</v>
      </c>
      <c r="D39" s="2064" t="s">
        <v>770</v>
      </c>
      <c r="E39" s="2064"/>
      <c r="F39" s="731" t="s">
        <v>178</v>
      </c>
      <c r="G39" s="731" t="s">
        <v>177</v>
      </c>
      <c r="H39" s="2064" t="s">
        <v>1215</v>
      </c>
      <c r="I39" s="2068"/>
      <c r="J39" s="48"/>
      <c r="K39" s="48"/>
      <c r="L39" s="48"/>
      <c r="M39" s="48"/>
      <c r="N39" s="48"/>
    </row>
    <row r="40" spans="1:14" x14ac:dyDescent="0.25">
      <c r="A40" s="48"/>
      <c r="B40" s="155"/>
      <c r="C40" s="697"/>
      <c r="D40" s="2047"/>
      <c r="E40" s="2048"/>
      <c r="F40" s="273" t="s">
        <v>62</v>
      </c>
      <c r="G40" s="155"/>
      <c r="H40" s="2047"/>
      <c r="I40" s="2048"/>
      <c r="J40" s="48"/>
      <c r="K40" s="48"/>
      <c r="L40" s="48" t="str">
        <f>IF(AND(F40&lt;&gt;"Select",C40&lt;&gt;"",F40&lt;&gt;"",G40&lt;&gt;"",H40&lt;&gt;"",B40&lt;&gt;""),"Yes","No")</f>
        <v>No</v>
      </c>
      <c r="M40" s="48"/>
      <c r="N40" s="48"/>
    </row>
    <row r="41" spans="1:14" x14ac:dyDescent="0.25">
      <c r="A41" s="48"/>
      <c r="B41" s="155"/>
      <c r="C41" s="697"/>
      <c r="D41" s="2047"/>
      <c r="E41" s="2048"/>
      <c r="F41" s="273" t="s">
        <v>62</v>
      </c>
      <c r="G41" s="155"/>
      <c r="H41" s="2047"/>
      <c r="I41" s="2048"/>
      <c r="J41" s="48"/>
      <c r="K41" s="48"/>
      <c r="L41" s="48" t="str">
        <f t="shared" ref="L41:L49" si="0">IF(AND(F41&lt;&gt;"Select",C41&lt;&gt;"",F41&lt;&gt;"",G41&lt;&gt;"",H41&lt;&gt;"",B41&lt;&gt;""),"Yes","No")</f>
        <v>No</v>
      </c>
      <c r="M41" s="48"/>
      <c r="N41" s="48"/>
    </row>
    <row r="42" spans="1:14" x14ac:dyDescent="0.25">
      <c r="A42" s="48"/>
      <c r="B42" s="155"/>
      <c r="C42" s="729"/>
      <c r="D42" s="2047"/>
      <c r="E42" s="2048"/>
      <c r="F42" s="273" t="s">
        <v>62</v>
      </c>
      <c r="G42" s="155"/>
      <c r="H42" s="2047"/>
      <c r="I42" s="2048"/>
      <c r="J42" s="48"/>
      <c r="K42" s="48"/>
      <c r="L42" s="48" t="str">
        <f t="shared" si="0"/>
        <v>No</v>
      </c>
      <c r="M42" s="48"/>
      <c r="N42" s="48"/>
    </row>
    <row r="43" spans="1:14" x14ac:dyDescent="0.25">
      <c r="A43" s="48"/>
      <c r="B43" s="155"/>
      <c r="C43" s="729"/>
      <c r="D43" s="2047"/>
      <c r="E43" s="2048"/>
      <c r="F43" s="273" t="s">
        <v>62</v>
      </c>
      <c r="G43" s="155"/>
      <c r="H43" s="2047"/>
      <c r="I43" s="2048"/>
      <c r="J43" s="48"/>
      <c r="K43" s="48"/>
      <c r="L43" s="48" t="str">
        <f t="shared" si="0"/>
        <v>No</v>
      </c>
      <c r="M43" s="48"/>
      <c r="N43" s="48"/>
    </row>
    <row r="44" spans="1:14" x14ac:dyDescent="0.25">
      <c r="A44" s="48"/>
      <c r="B44" s="155"/>
      <c r="C44" s="697"/>
      <c r="D44" s="2047"/>
      <c r="E44" s="2048"/>
      <c r="F44" s="273" t="s">
        <v>62</v>
      </c>
      <c r="G44" s="155"/>
      <c r="H44" s="2047"/>
      <c r="I44" s="2048"/>
      <c r="J44" s="48"/>
      <c r="K44" s="48"/>
      <c r="L44" s="48" t="str">
        <f t="shared" si="0"/>
        <v>No</v>
      </c>
      <c r="M44" s="48"/>
      <c r="N44" s="48"/>
    </row>
    <row r="45" spans="1:14" x14ac:dyDescent="0.25">
      <c r="A45" s="48"/>
      <c r="B45" s="155"/>
      <c r="C45" s="729"/>
      <c r="D45" s="2047"/>
      <c r="E45" s="2048"/>
      <c r="F45" s="273" t="s">
        <v>62</v>
      </c>
      <c r="G45" s="155"/>
      <c r="H45" s="2047"/>
      <c r="I45" s="2048"/>
      <c r="J45" s="48"/>
      <c r="K45" s="48"/>
      <c r="L45" s="48" t="str">
        <f t="shared" si="0"/>
        <v>No</v>
      </c>
      <c r="M45" s="48"/>
      <c r="N45" s="48"/>
    </row>
    <row r="46" spans="1:14" x14ac:dyDescent="0.25">
      <c r="A46" s="48"/>
      <c r="B46" s="155"/>
      <c r="C46" s="729"/>
      <c r="D46" s="2047"/>
      <c r="E46" s="2048"/>
      <c r="F46" s="273" t="s">
        <v>62</v>
      </c>
      <c r="G46" s="155"/>
      <c r="H46" s="2047"/>
      <c r="I46" s="2048"/>
      <c r="J46" s="48"/>
      <c r="K46" s="48"/>
      <c r="L46" s="48" t="str">
        <f t="shared" si="0"/>
        <v>No</v>
      </c>
      <c r="M46" s="48"/>
      <c r="N46" s="48"/>
    </row>
    <row r="47" spans="1:14" x14ac:dyDescent="0.25">
      <c r="A47" s="48"/>
      <c r="B47" s="155"/>
      <c r="C47" s="697"/>
      <c r="D47" s="2047"/>
      <c r="E47" s="2048"/>
      <c r="F47" s="273" t="s">
        <v>62</v>
      </c>
      <c r="G47" s="155"/>
      <c r="H47" s="2047"/>
      <c r="I47" s="2048"/>
      <c r="J47" s="48"/>
      <c r="K47" s="48"/>
      <c r="L47" s="48" t="str">
        <f t="shared" si="0"/>
        <v>No</v>
      </c>
      <c r="M47" s="48"/>
      <c r="N47" s="48"/>
    </row>
    <row r="48" spans="1:14" x14ac:dyDescent="0.25">
      <c r="A48" s="48"/>
      <c r="B48" s="155"/>
      <c r="C48" s="697"/>
      <c r="D48" s="2047"/>
      <c r="E48" s="2048"/>
      <c r="F48" s="273" t="s">
        <v>62</v>
      </c>
      <c r="G48" s="155"/>
      <c r="H48" s="2047"/>
      <c r="I48" s="2048"/>
      <c r="J48" s="48"/>
      <c r="K48" s="48"/>
      <c r="L48" s="48" t="str">
        <f t="shared" si="0"/>
        <v>No</v>
      </c>
      <c r="M48" s="48"/>
      <c r="N48" s="48"/>
    </row>
    <row r="49" spans="1:14" x14ac:dyDescent="0.25">
      <c r="A49" s="48"/>
      <c r="B49" s="155"/>
      <c r="C49" s="697"/>
      <c r="D49" s="2047"/>
      <c r="E49" s="2048"/>
      <c r="F49" s="273" t="s">
        <v>62</v>
      </c>
      <c r="G49" s="155"/>
      <c r="H49" s="2047"/>
      <c r="I49" s="2048"/>
      <c r="J49" s="48"/>
      <c r="K49" s="48"/>
      <c r="L49" s="48" t="str">
        <f t="shared" si="0"/>
        <v>No</v>
      </c>
      <c r="M49" s="48"/>
      <c r="N49" s="48"/>
    </row>
    <row r="50" spans="1:14" x14ac:dyDescent="0.25">
      <c r="A50" s="48"/>
      <c r="B50" s="49"/>
      <c r="C50" s="49"/>
      <c r="D50" s="49"/>
      <c r="E50" s="49"/>
      <c r="F50" s="48"/>
      <c r="G50" s="48"/>
      <c r="H50" s="48"/>
      <c r="I50" s="48"/>
      <c r="J50" s="48"/>
      <c r="K50" s="48"/>
    </row>
    <row r="51" spans="1:14" ht="18" customHeight="1" x14ac:dyDescent="0.25">
      <c r="A51" s="48"/>
      <c r="B51" s="2070" t="s">
        <v>2423</v>
      </c>
      <c r="C51" s="2070"/>
      <c r="D51" s="2070"/>
      <c r="E51" s="157" t="str">
        <f>IF(COUNTIF(L40:L49,"Yes")&gt;2,"Yes","No")</f>
        <v>No</v>
      </c>
      <c r="F51" s="597"/>
      <c r="G51" s="48"/>
      <c r="H51" s="48"/>
      <c r="I51" s="48"/>
      <c r="J51" s="48"/>
      <c r="K51" s="48"/>
    </row>
    <row r="52" spans="1:14" ht="19.5" customHeight="1" x14ac:dyDescent="0.25">
      <c r="A52" s="48"/>
      <c r="B52" s="49"/>
      <c r="C52" s="49"/>
      <c r="D52" s="49"/>
      <c r="E52" s="48"/>
      <c r="F52" s="597"/>
      <c r="G52" s="48"/>
      <c r="H52" s="48"/>
      <c r="I52" s="48"/>
      <c r="J52" s="48"/>
      <c r="K52" s="48"/>
    </row>
    <row r="53" spans="1:14" ht="16.5" customHeight="1" x14ac:dyDescent="0.25">
      <c r="A53" s="382" t="s">
        <v>97</v>
      </c>
      <c r="B53" s="383"/>
      <c r="C53" s="314"/>
      <c r="D53" s="49"/>
      <c r="E53" s="49"/>
      <c r="F53" s="49"/>
      <c r="G53" s="49"/>
      <c r="H53" s="49"/>
      <c r="I53" s="48"/>
      <c r="J53" s="48"/>
      <c r="K53" s="48"/>
    </row>
    <row r="54" spans="1:14" x14ac:dyDescent="0.25">
      <c r="A54" s="48"/>
      <c r="B54" s="49"/>
      <c r="C54" s="49"/>
      <c r="D54" s="49"/>
      <c r="E54" s="48"/>
      <c r="F54" s="48"/>
      <c r="G54" s="48"/>
      <c r="H54" s="48"/>
      <c r="I54" s="48"/>
      <c r="J54" s="48"/>
      <c r="K54" s="48"/>
    </row>
    <row r="55" spans="1:14" ht="21.75" customHeight="1" x14ac:dyDescent="0.25">
      <c r="A55" s="48"/>
      <c r="B55" s="2017" t="s">
        <v>98</v>
      </c>
      <c r="C55" s="2018"/>
      <c r="D55" s="2018"/>
      <c r="E55" s="2018"/>
      <c r="F55" s="2018"/>
      <c r="G55" s="822" t="s">
        <v>1297</v>
      </c>
      <c r="H55" s="1997" t="s">
        <v>1298</v>
      </c>
      <c r="I55" s="1998"/>
      <c r="J55" s="48"/>
      <c r="K55" s="48"/>
    </row>
    <row r="56" spans="1:14" ht="30" customHeight="1" x14ac:dyDescent="0.25">
      <c r="A56" s="48"/>
      <c r="B56" s="1644" t="str">
        <f>Submittals!H67</f>
        <v>Select the Submission Stage in Project Information</v>
      </c>
      <c r="C56" s="1645"/>
      <c r="D56" s="1645"/>
      <c r="E56" s="1645"/>
      <c r="F56" s="1645"/>
      <c r="G56" s="821" t="s">
        <v>62</v>
      </c>
      <c r="H56" s="1625"/>
      <c r="I56" s="1626"/>
      <c r="J56" s="48"/>
      <c r="K56" s="48"/>
      <c r="L56" s="37" t="str">
        <f>IF(OR(B56="/",B56="No evidence required at this submission stage"),"Yes",IF(H56="Submitted","Yes","No"))</f>
        <v>No</v>
      </c>
    </row>
    <row r="57" spans="1:14" ht="30" customHeight="1" x14ac:dyDescent="0.25">
      <c r="A57" s="48"/>
      <c r="B57" s="1644" t="str">
        <f>Submittals!H68</f>
        <v>Select the Submission Stage in Project Information</v>
      </c>
      <c r="C57" s="1645"/>
      <c r="D57" s="1645"/>
      <c r="E57" s="1645"/>
      <c r="F57" s="1645"/>
      <c r="G57" s="821" t="s">
        <v>62</v>
      </c>
      <c r="H57" s="1687"/>
      <c r="I57" s="1688"/>
      <c r="J57" s="48"/>
      <c r="K57" s="48"/>
      <c r="L57" s="37" t="str">
        <f>IF(OR(B57="/",B57="No evidence required at this submission stage"),"Yes",IF(H57="Submitted","Yes","No"))</f>
        <v>No</v>
      </c>
    </row>
    <row r="58" spans="1:14" ht="18.75" customHeight="1" x14ac:dyDescent="0.25">
      <c r="A58" s="48"/>
      <c r="B58" s="49"/>
      <c r="C58" s="49"/>
      <c r="D58" s="49"/>
      <c r="E58" s="48"/>
      <c r="F58" s="48"/>
      <c r="G58" s="48"/>
      <c r="H58" s="48"/>
      <c r="I58" s="48"/>
      <c r="J58" s="48"/>
      <c r="K58" s="48"/>
    </row>
    <row r="59" spans="1:14" ht="16.5" customHeight="1" x14ac:dyDescent="0.25">
      <c r="A59" s="1999" t="s">
        <v>8</v>
      </c>
      <c r="B59" s="1999"/>
      <c r="C59" s="1999"/>
      <c r="D59" s="49"/>
      <c r="E59" s="49"/>
      <c r="F59" s="49"/>
      <c r="G59" s="49"/>
      <c r="H59" s="49"/>
      <c r="I59" s="49"/>
      <c r="J59" s="49"/>
      <c r="K59" s="49"/>
    </row>
    <row r="60" spans="1:14" x14ac:dyDescent="0.25">
      <c r="A60" s="48"/>
      <c r="B60" s="49"/>
      <c r="C60" s="49"/>
      <c r="D60" s="49"/>
      <c r="E60" s="49"/>
      <c r="F60" s="48"/>
      <c r="G60" s="48"/>
      <c r="H60" s="48"/>
      <c r="I60" s="48"/>
      <c r="J60" s="48"/>
      <c r="K60" s="48"/>
    </row>
    <row r="61" spans="1:14" ht="18" customHeight="1" x14ac:dyDescent="0.25">
      <c r="A61" s="48"/>
      <c r="B61" s="385" t="s">
        <v>360</v>
      </c>
      <c r="C61" s="116" t="str">
        <f>IF(E51="Yes","Yes","No")</f>
        <v>No</v>
      </c>
      <c r="D61" s="49"/>
      <c r="E61" s="48"/>
      <c r="F61" s="48"/>
      <c r="G61" s="48"/>
      <c r="H61" s="48"/>
      <c r="I61" s="48"/>
      <c r="J61" s="48"/>
      <c r="K61" s="48"/>
    </row>
    <row r="62" spans="1:14" ht="18" customHeight="1" x14ac:dyDescent="0.25">
      <c r="A62" s="48"/>
      <c r="B62" s="385" t="s">
        <v>151</v>
      </c>
      <c r="C62" s="116" t="str">
        <f>IF(AND(COUNTIF(L56:L57,"Yes")=2,C61="Yes"),"Yes","No")</f>
        <v>No</v>
      </c>
      <c r="D62" s="49"/>
      <c r="E62" s="49"/>
      <c r="F62" s="48"/>
      <c r="G62" s="48"/>
      <c r="H62" s="48"/>
      <c r="I62" s="48"/>
      <c r="J62" s="48"/>
      <c r="K62" s="48"/>
    </row>
    <row r="63" spans="1:14" ht="21" customHeight="1" x14ac:dyDescent="0.25">
      <c r="A63" s="48"/>
      <c r="B63" s="49"/>
      <c r="C63" s="49"/>
      <c r="D63" s="49"/>
      <c r="E63" s="49"/>
      <c r="F63" s="48"/>
      <c r="G63" s="48"/>
      <c r="H63" s="48"/>
      <c r="I63" s="48"/>
      <c r="J63" s="48"/>
      <c r="K63" s="48"/>
    </row>
    <row r="64" spans="1:14" ht="18" customHeight="1" x14ac:dyDescent="0.25">
      <c r="A64" s="2014" t="s">
        <v>519</v>
      </c>
      <c r="B64" s="2014"/>
      <c r="C64" s="2014"/>
      <c r="D64" s="2014"/>
      <c r="E64" s="2014"/>
      <c r="F64" s="2014"/>
      <c r="G64" s="2014"/>
      <c r="H64" s="2014"/>
      <c r="I64" s="2014"/>
      <c r="J64" s="2014"/>
      <c r="K64" s="2014"/>
    </row>
    <row r="65" spans="1:11" ht="16.5" customHeight="1" x14ac:dyDescent="0.25">
      <c r="A65" s="48"/>
      <c r="B65" s="48"/>
      <c r="C65" s="49"/>
      <c r="D65" s="49"/>
      <c r="E65" s="49"/>
      <c r="F65" s="48"/>
      <c r="G65" s="48"/>
      <c r="H65" s="48"/>
      <c r="I65" s="48"/>
      <c r="J65" s="48"/>
      <c r="K65" s="48"/>
    </row>
    <row r="66" spans="1:11" ht="16.5" customHeight="1" x14ac:dyDescent="0.25">
      <c r="A66" s="1999" t="s">
        <v>117</v>
      </c>
      <c r="B66" s="1999"/>
      <c r="C66" s="1999"/>
      <c r="D66" s="49"/>
      <c r="E66" s="49"/>
      <c r="F66" s="49"/>
      <c r="G66" s="49"/>
      <c r="H66" s="49"/>
      <c r="I66" s="49"/>
      <c r="J66" s="49"/>
      <c r="K66" s="49"/>
    </row>
    <row r="67" spans="1:11" ht="12" customHeight="1" x14ac:dyDescent="0.25">
      <c r="A67" s="48"/>
      <c r="B67" s="49"/>
      <c r="C67" s="49"/>
      <c r="D67" s="49"/>
      <c r="E67" s="49"/>
      <c r="F67" s="48"/>
      <c r="G67" s="48"/>
      <c r="H67" s="48"/>
      <c r="I67" s="48"/>
      <c r="J67" s="48"/>
      <c r="K67" s="48"/>
    </row>
    <row r="68" spans="1:11" ht="15" customHeight="1" x14ac:dyDescent="0.25">
      <c r="A68" s="48"/>
      <c r="B68" s="956" t="s">
        <v>2794</v>
      </c>
      <c r="C68" s="1099"/>
      <c r="D68" s="1099"/>
      <c r="E68" s="1099"/>
      <c r="F68" s="1099"/>
      <c r="G68" s="1099"/>
      <c r="H68" s="1099"/>
      <c r="I68" s="1100"/>
      <c r="J68" s="1097"/>
      <c r="K68" s="48"/>
    </row>
    <row r="69" spans="1:11" x14ac:dyDescent="0.25">
      <c r="A69" s="48"/>
      <c r="B69" s="1104" t="s">
        <v>559</v>
      </c>
      <c r="C69" s="1098"/>
      <c r="D69" s="1098"/>
      <c r="E69" s="1098"/>
      <c r="F69" s="1098"/>
      <c r="G69" s="1098"/>
      <c r="H69" s="1098"/>
      <c r="I69" s="1101"/>
      <c r="J69" s="775"/>
      <c r="K69" s="48"/>
    </row>
    <row r="70" spans="1:11" x14ac:dyDescent="0.25">
      <c r="A70" s="48"/>
      <c r="B70" s="1039" t="s">
        <v>2424</v>
      </c>
      <c r="C70" s="1102"/>
      <c r="D70" s="1102"/>
      <c r="E70" s="1102"/>
      <c r="F70" s="1102"/>
      <c r="G70" s="1102"/>
      <c r="H70" s="1102"/>
      <c r="I70" s="1103"/>
      <c r="J70" s="775"/>
      <c r="K70" s="48"/>
    </row>
    <row r="71" spans="1:11" ht="12" customHeight="1" x14ac:dyDescent="0.25">
      <c r="A71" s="48"/>
      <c r="B71" s="49"/>
      <c r="C71" s="49"/>
      <c r="D71" s="48"/>
      <c r="E71" s="48"/>
      <c r="F71" s="48"/>
      <c r="G71" s="48"/>
      <c r="H71" s="48"/>
      <c r="I71" s="48"/>
      <c r="J71" s="48"/>
      <c r="K71" s="48"/>
    </row>
    <row r="72" spans="1:11" ht="16.5" customHeight="1" x14ac:dyDescent="0.25">
      <c r="A72" s="1999" t="s">
        <v>1252</v>
      </c>
      <c r="B72" s="1999"/>
      <c r="C72" s="1999"/>
      <c r="D72" s="49"/>
      <c r="E72" s="49"/>
      <c r="F72" s="49"/>
      <c r="G72" s="49"/>
      <c r="H72" s="49"/>
      <c r="I72" s="49"/>
      <c r="J72" s="49"/>
      <c r="K72" s="49"/>
    </row>
    <row r="73" spans="1:11" x14ac:dyDescent="0.25">
      <c r="A73" s="48"/>
      <c r="B73" s="49"/>
      <c r="C73" s="49"/>
      <c r="D73" s="49"/>
      <c r="E73" s="49"/>
      <c r="F73" s="48"/>
      <c r="G73" s="48"/>
      <c r="H73" s="48"/>
      <c r="I73" s="48"/>
      <c r="J73" s="48"/>
      <c r="K73" s="48"/>
    </row>
    <row r="74" spans="1:11" x14ac:dyDescent="0.25">
      <c r="A74" s="48"/>
      <c r="B74" s="776" t="s">
        <v>2425</v>
      </c>
      <c r="C74" s="49"/>
      <c r="D74" s="49"/>
      <c r="E74" s="49"/>
      <c r="F74" s="48"/>
      <c r="G74" s="48"/>
      <c r="H74" s="48"/>
      <c r="I74" s="48"/>
      <c r="J74" s="48"/>
      <c r="K74" s="48"/>
    </row>
    <row r="75" spans="1:11" x14ac:dyDescent="0.25">
      <c r="A75" s="48"/>
      <c r="B75" s="49"/>
      <c r="C75" s="49"/>
      <c r="D75" s="49"/>
      <c r="E75" s="49"/>
      <c r="F75" s="48"/>
      <c r="G75" s="48"/>
      <c r="H75" s="48"/>
      <c r="I75" s="48"/>
      <c r="J75" s="48"/>
      <c r="K75" s="48"/>
    </row>
    <row r="76" spans="1:11" x14ac:dyDescent="0.25">
      <c r="A76" s="48"/>
      <c r="B76" s="709" t="s">
        <v>1357</v>
      </c>
      <c r="C76" s="49"/>
      <c r="D76" s="49"/>
      <c r="E76" s="49"/>
      <c r="F76" s="48"/>
      <c r="G76" s="48"/>
      <c r="H76" s="48"/>
      <c r="I76" s="48"/>
      <c r="J76" s="48"/>
      <c r="K76" s="48"/>
    </row>
    <row r="77" spans="1:11" x14ac:dyDescent="0.25">
      <c r="A77" s="48"/>
      <c r="B77" s="49"/>
      <c r="C77" s="49"/>
      <c r="D77" s="49"/>
      <c r="E77" s="49"/>
      <c r="F77" s="48"/>
      <c r="G77" s="48"/>
      <c r="H77" s="48"/>
      <c r="I77" s="48"/>
      <c r="J77" s="48"/>
      <c r="K77" s="48"/>
    </row>
    <row r="78" spans="1:11" x14ac:dyDescent="0.25">
      <c r="A78" s="48"/>
      <c r="B78" s="2045" t="s">
        <v>712</v>
      </c>
      <c r="C78" s="2046"/>
      <c r="D78" s="440" t="s">
        <v>62</v>
      </c>
      <c r="E78" s="49"/>
      <c r="F78" s="48"/>
      <c r="G78" s="48"/>
      <c r="H78" s="48"/>
      <c r="I78" s="48"/>
      <c r="J78" s="48"/>
      <c r="K78" s="48"/>
    </row>
    <row r="79" spans="1:11" x14ac:dyDescent="0.25">
      <c r="A79" s="48"/>
      <c r="B79" s="441" t="s">
        <v>713</v>
      </c>
      <c r="C79" s="4"/>
      <c r="D79" s="4"/>
      <c r="E79" s="49"/>
      <c r="F79" s="48"/>
      <c r="G79" s="48"/>
      <c r="H79" s="48"/>
      <c r="I79" s="48"/>
      <c r="J79" s="48"/>
      <c r="K79" s="48"/>
    </row>
    <row r="80" spans="1:11" ht="12.75" customHeight="1" x14ac:dyDescent="0.25">
      <c r="A80" s="48"/>
      <c r="B80" s="441"/>
      <c r="C80" s="4"/>
      <c r="D80" s="4"/>
      <c r="E80" s="49"/>
      <c r="F80" s="48"/>
      <c r="G80" s="48"/>
      <c r="H80" s="48"/>
      <c r="I80" s="48"/>
      <c r="J80" s="48"/>
      <c r="K80" s="48"/>
    </row>
    <row r="81" spans="1:11" ht="24.75" customHeight="1" x14ac:dyDescent="0.25">
      <c r="A81" s="48"/>
      <c r="B81" s="766" t="s">
        <v>176</v>
      </c>
      <c r="C81" s="764" t="str">
        <f>IF(D78="Volume (m3)","Volume (m3)",IF(D78="weight (kg)","Weight (kg)","Volume/Mass"))</f>
        <v>Volume/Mass</v>
      </c>
      <c r="D81" s="765" t="s">
        <v>178</v>
      </c>
      <c r="E81" s="764" t="s">
        <v>177</v>
      </c>
      <c r="F81" s="2064" t="s">
        <v>598</v>
      </c>
      <c r="G81" s="2068"/>
      <c r="H81" s="48"/>
      <c r="I81" s="48"/>
      <c r="J81" s="48"/>
      <c r="K81" s="49"/>
    </row>
    <row r="82" spans="1:11" ht="18" customHeight="1" x14ac:dyDescent="0.25">
      <c r="A82" s="48"/>
      <c r="B82" s="155"/>
      <c r="C82" s="155"/>
      <c r="D82" s="155" t="s">
        <v>62</v>
      </c>
      <c r="E82" s="155"/>
      <c r="F82" s="2047"/>
      <c r="G82" s="2048"/>
      <c r="H82" s="48"/>
      <c r="I82" s="48"/>
      <c r="J82" s="48"/>
      <c r="K82" s="49"/>
    </row>
    <row r="83" spans="1:11" ht="18" customHeight="1" x14ac:dyDescent="0.25">
      <c r="A83" s="48"/>
      <c r="B83" s="155"/>
      <c r="C83" s="155"/>
      <c r="D83" s="155" t="s">
        <v>62</v>
      </c>
      <c r="E83" s="155"/>
      <c r="F83" s="2047"/>
      <c r="G83" s="2048"/>
      <c r="H83" s="48"/>
      <c r="I83" s="48"/>
      <c r="J83" s="48"/>
      <c r="K83" s="49"/>
    </row>
    <row r="84" spans="1:11" ht="18" customHeight="1" x14ac:dyDescent="0.25">
      <c r="A84" s="48"/>
      <c r="B84" s="155"/>
      <c r="C84" s="155"/>
      <c r="D84" s="155" t="s">
        <v>62</v>
      </c>
      <c r="E84" s="155"/>
      <c r="F84" s="403"/>
      <c r="G84" s="404"/>
      <c r="H84" s="48"/>
      <c r="I84" s="48"/>
      <c r="J84" s="48"/>
      <c r="K84" s="49"/>
    </row>
    <row r="85" spans="1:11" ht="18" customHeight="1" x14ac:dyDescent="0.25">
      <c r="A85" s="48"/>
      <c r="B85" s="155"/>
      <c r="C85" s="155"/>
      <c r="D85" s="155" t="s">
        <v>62</v>
      </c>
      <c r="E85" s="155"/>
      <c r="F85" s="762"/>
      <c r="G85" s="763"/>
      <c r="H85" s="48"/>
      <c r="I85" s="48"/>
      <c r="J85" s="48"/>
      <c r="K85" s="49"/>
    </row>
    <row r="86" spans="1:11" ht="18" customHeight="1" x14ac:dyDescent="0.25">
      <c r="A86" s="48"/>
      <c r="B86" s="155"/>
      <c r="C86" s="155"/>
      <c r="D86" s="155" t="s">
        <v>62</v>
      </c>
      <c r="E86" s="155"/>
      <c r="F86" s="762"/>
      <c r="G86" s="763"/>
      <c r="H86" s="48"/>
      <c r="I86" s="48"/>
      <c r="J86" s="48"/>
      <c r="K86" s="49"/>
    </row>
    <row r="87" spans="1:11" ht="18" customHeight="1" x14ac:dyDescent="0.25">
      <c r="A87" s="48"/>
      <c r="B87" s="155"/>
      <c r="C87" s="155"/>
      <c r="D87" s="155" t="s">
        <v>62</v>
      </c>
      <c r="E87" s="155"/>
      <c r="F87" s="403"/>
      <c r="G87" s="404"/>
      <c r="H87" s="48"/>
      <c r="I87" s="48"/>
      <c r="J87" s="48"/>
      <c r="K87" s="49"/>
    </row>
    <row r="88" spans="1:11" ht="18" customHeight="1" x14ac:dyDescent="0.25">
      <c r="A88" s="48"/>
      <c r="B88" s="155"/>
      <c r="C88" s="155"/>
      <c r="D88" s="155" t="s">
        <v>62</v>
      </c>
      <c r="E88" s="155"/>
      <c r="F88" s="424"/>
      <c r="G88" s="425"/>
      <c r="H88" s="48"/>
      <c r="I88" s="48"/>
      <c r="J88" s="48"/>
      <c r="K88" s="49"/>
    </row>
    <row r="89" spans="1:11" ht="18" customHeight="1" x14ac:dyDescent="0.25">
      <c r="A89" s="48"/>
      <c r="B89" s="155"/>
      <c r="C89" s="155"/>
      <c r="D89" s="155" t="s">
        <v>62</v>
      </c>
      <c r="E89" s="155"/>
      <c r="F89" s="424"/>
      <c r="G89" s="425"/>
      <c r="H89" s="48"/>
      <c r="I89" s="48"/>
      <c r="J89" s="48"/>
      <c r="K89" s="49"/>
    </row>
    <row r="90" spans="1:11" ht="18" customHeight="1" x14ac:dyDescent="0.25">
      <c r="A90" s="48"/>
      <c r="B90" s="155"/>
      <c r="C90" s="155"/>
      <c r="D90" s="155" t="s">
        <v>62</v>
      </c>
      <c r="E90" s="155"/>
      <c r="F90" s="2047"/>
      <c r="G90" s="2048"/>
      <c r="H90" s="48"/>
      <c r="I90" s="48"/>
      <c r="J90" s="48"/>
      <c r="K90" s="49"/>
    </row>
    <row r="91" spans="1:11" ht="18" customHeight="1" x14ac:dyDescent="0.25">
      <c r="A91" s="48"/>
      <c r="B91" s="155"/>
      <c r="C91" s="155"/>
      <c r="D91" s="155" t="s">
        <v>62</v>
      </c>
      <c r="E91" s="155"/>
      <c r="F91" s="2047"/>
      <c r="G91" s="2048"/>
      <c r="H91" s="48"/>
      <c r="I91" s="48"/>
      <c r="J91" s="48"/>
      <c r="K91" s="49"/>
    </row>
    <row r="92" spans="1:11" ht="19.5" customHeight="1" x14ac:dyDescent="0.25">
      <c r="A92" s="48"/>
      <c r="B92" s="49"/>
      <c r="C92" s="49"/>
      <c r="D92" s="49"/>
      <c r="E92" s="49"/>
      <c r="F92" s="48"/>
      <c r="G92" s="48"/>
      <c r="H92" s="48"/>
      <c r="I92" s="48"/>
      <c r="J92" s="48"/>
      <c r="K92" s="49"/>
    </row>
    <row r="93" spans="1:11" ht="18" customHeight="1" x14ac:dyDescent="0.25">
      <c r="A93" s="48"/>
      <c r="B93" s="2049" t="s">
        <v>558</v>
      </c>
      <c r="C93" s="2049"/>
      <c r="D93" s="2049"/>
      <c r="E93" s="2049"/>
      <c r="F93" s="70" t="str">
        <f>IFERROR((SUMIFS(C82:C91,D82:D91,"Reuse",E82:E91,"&lt;&gt;",F82:F91,"&lt;&gt;")+SUMIFS(C82:C91,D82:D91,"Recycling",E82:E91,"&lt;&gt;",F82:F91,"&lt;&gt;"))/SUM(C82:C91),"")</f>
        <v/>
      </c>
      <c r="G93" s="48"/>
      <c r="H93" s="48"/>
      <c r="I93" s="48"/>
      <c r="J93" s="48"/>
      <c r="K93" s="48"/>
    </row>
    <row r="94" spans="1:11" ht="18.75" customHeight="1" x14ac:dyDescent="0.25">
      <c r="A94" s="48"/>
      <c r="B94" s="49"/>
      <c r="C94" s="49"/>
      <c r="D94" s="49"/>
      <c r="E94" s="48"/>
      <c r="F94" s="48"/>
      <c r="G94" s="48"/>
      <c r="H94" s="48"/>
      <c r="I94" s="48"/>
      <c r="J94" s="48"/>
      <c r="K94" s="48"/>
    </row>
    <row r="95" spans="1:11" ht="16.5" customHeight="1" x14ac:dyDescent="0.25">
      <c r="A95" s="1999" t="s">
        <v>97</v>
      </c>
      <c r="B95" s="1999"/>
      <c r="C95" s="1999"/>
      <c r="D95" s="49"/>
      <c r="E95" s="49"/>
      <c r="F95" s="49"/>
      <c r="G95" s="49"/>
      <c r="H95" s="49"/>
      <c r="I95" s="49"/>
      <c r="J95" s="49"/>
      <c r="K95" s="49"/>
    </row>
    <row r="96" spans="1:11" ht="12" customHeight="1" x14ac:dyDescent="0.25">
      <c r="A96" s="48"/>
      <c r="B96" s="49"/>
      <c r="C96" s="49"/>
      <c r="D96" s="49"/>
      <c r="E96" s="48"/>
      <c r="F96" s="48"/>
      <c r="G96" s="48"/>
      <c r="H96" s="48"/>
      <c r="I96" s="48"/>
      <c r="J96" s="48"/>
      <c r="K96" s="48"/>
    </row>
    <row r="97" spans="1:11" ht="15" customHeight="1" x14ac:dyDescent="0.25">
      <c r="A97" s="48"/>
      <c r="B97" s="2069" t="s">
        <v>2627</v>
      </c>
      <c r="C97" s="2069"/>
      <c r="D97" s="2069"/>
      <c r="E97" s="2069"/>
      <c r="F97" s="2069"/>
      <c r="G97" s="2069"/>
      <c r="H97" s="48"/>
      <c r="I97" s="48"/>
      <c r="J97" s="48"/>
      <c r="K97" s="48"/>
    </row>
    <row r="98" spans="1:11" x14ac:dyDescent="0.25">
      <c r="A98" s="48"/>
      <c r="B98" s="49"/>
      <c r="C98" s="49"/>
      <c r="D98" s="49"/>
      <c r="E98" s="48"/>
      <c r="F98" s="48"/>
      <c r="G98" s="48"/>
      <c r="H98" s="48"/>
      <c r="I98" s="48"/>
      <c r="J98" s="48"/>
      <c r="K98" s="48"/>
    </row>
    <row r="99" spans="1:11" ht="16.5" customHeight="1" x14ac:dyDescent="0.25">
      <c r="A99" s="382" t="s">
        <v>8</v>
      </c>
      <c r="B99" s="383"/>
      <c r="C99" s="314"/>
      <c r="D99" s="49"/>
      <c r="E99" s="49"/>
      <c r="F99" s="49"/>
      <c r="G99" s="49"/>
      <c r="H99" s="49"/>
      <c r="I99" s="49"/>
      <c r="J99" s="49"/>
      <c r="K99" s="49"/>
    </row>
    <row r="100" spans="1:11" ht="16.5" customHeight="1" x14ac:dyDescent="0.25">
      <c r="A100" s="48"/>
      <c r="B100" s="49"/>
      <c r="C100" s="49"/>
      <c r="D100" s="49"/>
      <c r="E100" s="49"/>
      <c r="F100" s="48"/>
      <c r="G100" s="48"/>
      <c r="H100" s="48"/>
      <c r="I100" s="48"/>
      <c r="J100" s="48"/>
      <c r="K100" s="48"/>
    </row>
    <row r="101" spans="1:11" ht="18" customHeight="1" x14ac:dyDescent="0.25">
      <c r="A101" s="48"/>
      <c r="B101" s="385" t="s">
        <v>19</v>
      </c>
      <c r="C101" s="8">
        <f>IF(F93="",0,IF(F93&gt;=0.6,2,IF(F93&gt;=0.3,1,0)))</f>
        <v>0</v>
      </c>
      <c r="D101" s="49"/>
      <c r="E101" s="48"/>
      <c r="F101" s="48"/>
      <c r="G101" s="48"/>
      <c r="H101" s="48"/>
      <c r="I101" s="48"/>
      <c r="J101" s="48"/>
      <c r="K101" s="48"/>
    </row>
    <row r="102" spans="1:11" ht="18" customHeight="1" x14ac:dyDescent="0.25">
      <c r="A102" s="48"/>
      <c r="B102" s="385" t="s">
        <v>151</v>
      </c>
      <c r="C102" s="116" t="str">
        <f>IF(AND(C62="Yes",C101&gt;0),"Yes","No")</f>
        <v>No</v>
      </c>
      <c r="D102" s="49"/>
      <c r="E102" s="49"/>
      <c r="F102" s="48"/>
      <c r="G102" s="48"/>
      <c r="H102" s="48"/>
      <c r="I102" s="48"/>
      <c r="J102" s="48"/>
      <c r="K102" s="48"/>
    </row>
    <row r="103" spans="1:11" ht="21" customHeight="1" x14ac:dyDescent="0.25">
      <c r="A103" s="48"/>
      <c r="B103" s="49"/>
      <c r="C103" s="49"/>
      <c r="D103" s="49"/>
      <c r="E103" s="49"/>
      <c r="F103" s="48"/>
      <c r="G103" s="48"/>
      <c r="H103" s="48"/>
      <c r="I103" s="48"/>
      <c r="J103" s="48"/>
      <c r="K103" s="48"/>
    </row>
    <row r="104" spans="1:11" ht="18" customHeight="1" x14ac:dyDescent="0.25">
      <c r="A104" s="2014" t="s">
        <v>560</v>
      </c>
      <c r="B104" s="2014"/>
      <c r="C104" s="2014"/>
      <c r="D104" s="2014"/>
      <c r="E104" s="2014"/>
      <c r="F104" s="2014"/>
      <c r="G104" s="2014"/>
      <c r="H104" s="2014"/>
      <c r="I104" s="2014"/>
      <c r="J104" s="2014"/>
      <c r="K104" s="2014"/>
    </row>
    <row r="105" spans="1:11" x14ac:dyDescent="0.25">
      <c r="A105" s="48"/>
      <c r="B105" s="48"/>
      <c r="C105" s="49"/>
      <c r="D105" s="49"/>
      <c r="E105" s="49"/>
      <c r="F105" s="48"/>
      <c r="G105" s="48"/>
      <c r="H105" s="48"/>
      <c r="I105" s="48"/>
      <c r="J105" s="48"/>
      <c r="K105" s="48"/>
    </row>
    <row r="106" spans="1:11" ht="16.5" customHeight="1" x14ac:dyDescent="0.25">
      <c r="A106" s="382" t="s">
        <v>117</v>
      </c>
      <c r="B106" s="383"/>
      <c r="C106" s="314"/>
      <c r="D106" s="49"/>
      <c r="E106" s="49"/>
      <c r="F106" s="49"/>
      <c r="G106" s="49"/>
      <c r="H106" s="49"/>
      <c r="I106" s="49"/>
      <c r="J106" s="49"/>
      <c r="K106" s="49"/>
    </row>
    <row r="107" spans="1:11" ht="12" customHeight="1" x14ac:dyDescent="0.25">
      <c r="A107" s="48"/>
      <c r="B107" s="49"/>
      <c r="C107" s="49"/>
      <c r="D107" s="49"/>
      <c r="E107" s="49"/>
      <c r="F107" s="48"/>
      <c r="G107" s="48"/>
      <c r="H107" s="48"/>
      <c r="I107" s="48"/>
      <c r="J107" s="48"/>
      <c r="K107" s="48"/>
    </row>
    <row r="108" spans="1:11" x14ac:dyDescent="0.25">
      <c r="A108" s="48"/>
      <c r="B108" s="1304" t="s">
        <v>2795</v>
      </c>
      <c r="C108" s="448"/>
      <c r="D108" s="448"/>
      <c r="E108" s="448"/>
      <c r="F108" s="448"/>
      <c r="G108" s="448"/>
      <c r="H108" s="448"/>
      <c r="I108" s="448"/>
      <c r="J108" s="448"/>
      <c r="K108" s="48"/>
    </row>
    <row r="109" spans="1:11" ht="18" customHeight="1" x14ac:dyDescent="0.25">
      <c r="A109" s="48"/>
      <c r="B109" s="426"/>
      <c r="C109" s="427"/>
      <c r="D109" s="427"/>
      <c r="E109" s="427"/>
      <c r="F109" s="427"/>
      <c r="G109" s="427"/>
      <c r="H109" s="427"/>
      <c r="I109" s="427"/>
      <c r="J109" s="427"/>
      <c r="K109" s="48"/>
    </row>
    <row r="110" spans="1:11" ht="17.25" customHeight="1" x14ac:dyDescent="0.25">
      <c r="A110" s="48"/>
      <c r="B110" s="709" t="s">
        <v>1358</v>
      </c>
      <c r="C110" s="427"/>
      <c r="D110" s="427"/>
      <c r="E110" s="427"/>
      <c r="F110" s="427"/>
      <c r="G110" s="427"/>
      <c r="H110" s="427"/>
      <c r="I110" s="427"/>
      <c r="J110" s="427"/>
      <c r="K110" s="48"/>
    </row>
    <row r="111" spans="1:11" ht="12" customHeight="1" x14ac:dyDescent="0.25">
      <c r="A111" s="48"/>
      <c r="B111" s="815"/>
      <c r="C111" s="427"/>
      <c r="D111" s="427"/>
      <c r="E111" s="427"/>
      <c r="F111" s="427"/>
      <c r="G111" s="427"/>
      <c r="H111" s="427"/>
      <c r="I111" s="427"/>
      <c r="J111" s="427"/>
      <c r="K111" s="48"/>
    </row>
    <row r="112" spans="1:11" ht="29.25" customHeight="1" x14ac:dyDescent="0.25">
      <c r="A112" s="48"/>
      <c r="B112" s="2056" t="str">
        <f>IF('Project information'!$C$7="Full Certification stage","Have the following strategies been considered and implemented?","Will the following strategies be considered and implemented?")</f>
        <v>Will the following strategies be considered and implemented?</v>
      </c>
      <c r="C112" s="2057"/>
      <c r="D112" s="2057"/>
      <c r="E112" s="2057"/>
      <c r="F112" s="2066" t="s">
        <v>1359</v>
      </c>
      <c r="G112" s="2066"/>
      <c r="H112" s="2066"/>
      <c r="I112" s="2067"/>
      <c r="J112" s="48"/>
      <c r="K112" s="48"/>
    </row>
    <row r="113" spans="1:15" ht="36" customHeight="1" x14ac:dyDescent="0.25">
      <c r="A113" s="48"/>
      <c r="B113" s="2050" t="s">
        <v>706</v>
      </c>
      <c r="C113" s="2051"/>
      <c r="D113" s="2052"/>
      <c r="E113" s="449" t="s">
        <v>62</v>
      </c>
      <c r="F113" s="1692"/>
      <c r="G113" s="1692"/>
      <c r="H113" s="1692"/>
      <c r="I113" s="1692"/>
      <c r="J113" s="48"/>
      <c r="K113" s="48"/>
      <c r="M113" s="57" t="b">
        <v>0</v>
      </c>
      <c r="N113" s="57" t="b">
        <v>0</v>
      </c>
      <c r="O113" s="37" t="str">
        <f>IF(AND(M113=TRUE,N113=FALSE,F113&lt;&gt;""),"Yes","No")</f>
        <v>No</v>
      </c>
    </row>
    <row r="114" spans="1:15" ht="36" customHeight="1" x14ac:dyDescent="0.25">
      <c r="A114" s="48"/>
      <c r="B114" s="2042" t="s">
        <v>707</v>
      </c>
      <c r="C114" s="2043"/>
      <c r="D114" s="2044"/>
      <c r="E114" s="449" t="s">
        <v>62</v>
      </c>
      <c r="F114" s="1648"/>
      <c r="G114" s="1648"/>
      <c r="H114" s="1648"/>
      <c r="I114" s="1648"/>
      <c r="J114" s="48"/>
      <c r="K114" s="48"/>
      <c r="M114" s="57"/>
      <c r="N114" s="57" t="b">
        <v>0</v>
      </c>
      <c r="O114" s="37" t="str">
        <f t="shared" ref="O114:O117" si="1">IF(AND(M114=TRUE,N114=FALSE,F114&lt;&gt;""),"Yes","No")</f>
        <v>No</v>
      </c>
    </row>
    <row r="115" spans="1:15" ht="36" customHeight="1" x14ac:dyDescent="0.25">
      <c r="A115" s="48"/>
      <c r="B115" s="2042" t="s">
        <v>708</v>
      </c>
      <c r="C115" s="2043"/>
      <c r="D115" s="2044"/>
      <c r="E115" s="449" t="s">
        <v>62</v>
      </c>
      <c r="F115" s="1648"/>
      <c r="G115" s="1648"/>
      <c r="H115" s="1648"/>
      <c r="I115" s="1648"/>
      <c r="J115" s="48"/>
      <c r="K115" s="48"/>
      <c r="M115" s="57" t="b">
        <v>0</v>
      </c>
      <c r="N115" s="57" t="b">
        <v>0</v>
      </c>
      <c r="O115" s="37" t="str">
        <f t="shared" si="1"/>
        <v>No</v>
      </c>
    </row>
    <row r="116" spans="1:15" ht="36" customHeight="1" x14ac:dyDescent="0.25">
      <c r="A116" s="48"/>
      <c r="B116" s="2042" t="s">
        <v>709</v>
      </c>
      <c r="C116" s="2043"/>
      <c r="D116" s="2044"/>
      <c r="E116" s="449" t="s">
        <v>62</v>
      </c>
      <c r="F116" s="1648"/>
      <c r="G116" s="1648"/>
      <c r="H116" s="1648"/>
      <c r="I116" s="1648"/>
      <c r="J116" s="48"/>
      <c r="K116" s="48"/>
      <c r="M116" s="57" t="b">
        <v>0</v>
      </c>
      <c r="N116" s="57" t="b">
        <v>0</v>
      </c>
      <c r="O116" s="37" t="str">
        <f t="shared" si="1"/>
        <v>No</v>
      </c>
    </row>
    <row r="117" spans="1:15" ht="36" customHeight="1" x14ac:dyDescent="0.25">
      <c r="A117" s="48"/>
      <c r="B117" s="2042" t="s">
        <v>710</v>
      </c>
      <c r="C117" s="2043"/>
      <c r="D117" s="2044"/>
      <c r="E117" s="449" t="s">
        <v>62</v>
      </c>
      <c r="F117" s="1648"/>
      <c r="G117" s="1648"/>
      <c r="H117" s="1648"/>
      <c r="I117" s="1648"/>
      <c r="J117" s="48"/>
      <c r="K117" s="48"/>
      <c r="M117" s="57"/>
      <c r="N117" s="57" t="b">
        <v>0</v>
      </c>
      <c r="O117" s="37" t="str">
        <f t="shared" si="1"/>
        <v>No</v>
      </c>
    </row>
    <row r="118" spans="1:15" ht="18" customHeight="1" x14ac:dyDescent="0.25">
      <c r="A118" s="48"/>
      <c r="B118" s="49"/>
      <c r="C118" s="49"/>
      <c r="D118" s="49"/>
      <c r="E118" s="49"/>
      <c r="F118" s="48"/>
      <c r="G118" s="48"/>
      <c r="H118" s="48"/>
      <c r="I118" s="48"/>
      <c r="J118" s="48"/>
      <c r="K118" s="48"/>
    </row>
    <row r="119" spans="1:15" ht="18" customHeight="1" x14ac:dyDescent="0.25">
      <c r="A119" s="48"/>
      <c r="B119" s="2058" t="s">
        <v>711</v>
      </c>
      <c r="C119" s="2058"/>
      <c r="D119" s="2058"/>
      <c r="E119" s="157" t="str">
        <f>IF(COUNTIF(E113:E117,"Yes")&gt;=2,"Yes","No")</f>
        <v>No</v>
      </c>
      <c r="F119" s="48"/>
      <c r="G119" s="48"/>
      <c r="H119" s="48"/>
      <c r="I119" s="48"/>
      <c r="J119" s="48"/>
      <c r="K119" s="48"/>
    </row>
    <row r="120" spans="1:15" ht="19.5" customHeight="1" x14ac:dyDescent="0.25">
      <c r="A120" s="48"/>
      <c r="B120" s="49"/>
      <c r="C120" s="49"/>
      <c r="D120" s="49"/>
      <c r="E120" s="48"/>
      <c r="F120" s="48"/>
      <c r="G120" s="48"/>
      <c r="H120" s="48"/>
      <c r="I120" s="48"/>
      <c r="J120" s="48"/>
      <c r="K120" s="48"/>
    </row>
    <row r="121" spans="1:15" ht="16.5" customHeight="1" x14ac:dyDescent="0.25">
      <c r="A121" s="382" t="s">
        <v>97</v>
      </c>
      <c r="B121" s="383"/>
      <c r="C121" s="314"/>
      <c r="D121" s="49"/>
      <c r="E121" s="49"/>
      <c r="F121" s="49"/>
      <c r="G121" s="49"/>
      <c r="H121" s="49"/>
      <c r="I121" s="49"/>
      <c r="J121" s="49"/>
      <c r="K121" s="49"/>
    </row>
    <row r="122" spans="1:15" x14ac:dyDescent="0.25">
      <c r="A122" s="48"/>
      <c r="B122" s="49"/>
      <c r="C122" s="49"/>
      <c r="D122" s="49"/>
      <c r="E122" s="48"/>
      <c r="F122" s="48"/>
      <c r="G122" s="48"/>
      <c r="H122" s="48"/>
      <c r="I122" s="48"/>
      <c r="J122" s="48"/>
      <c r="K122" s="48"/>
    </row>
    <row r="123" spans="1:15" ht="21" customHeight="1" x14ac:dyDescent="0.25">
      <c r="A123" s="48"/>
      <c r="B123" s="2017" t="s">
        <v>98</v>
      </c>
      <c r="C123" s="2018"/>
      <c r="D123" s="2018"/>
      <c r="E123" s="2018"/>
      <c r="F123" s="2018"/>
      <c r="G123" s="822" t="s">
        <v>1297</v>
      </c>
      <c r="H123" s="1997" t="s">
        <v>1298</v>
      </c>
      <c r="I123" s="1998"/>
      <c r="J123" s="48"/>
      <c r="K123" s="48"/>
    </row>
    <row r="124" spans="1:15" ht="30" customHeight="1" x14ac:dyDescent="0.25">
      <c r="A124" s="48"/>
      <c r="B124" s="2053" t="str">
        <f>Submittals!H71</f>
        <v>Select the Submission Stage in Project Information</v>
      </c>
      <c r="C124" s="2054"/>
      <c r="D124" s="2054"/>
      <c r="E124" s="2054"/>
      <c r="F124" s="2055"/>
      <c r="G124" s="821" t="s">
        <v>62</v>
      </c>
      <c r="H124" s="1625"/>
      <c r="I124" s="1626"/>
      <c r="J124" s="48"/>
      <c r="K124" s="48"/>
      <c r="L124" s="37" t="str">
        <f>IF(OR(B124="/",B124="No evidence required at this submission stage"),"Yes",IF(H124="Submitted","Yes","No"))</f>
        <v>No</v>
      </c>
    </row>
    <row r="125" spans="1:15" ht="27" hidden="1" customHeight="1" x14ac:dyDescent="0.25">
      <c r="A125" s="48"/>
      <c r="B125" s="2039" t="str">
        <f>Submittals!G72</f>
        <v>• Not available in the draft version of LOTUS Interiors Pilot</v>
      </c>
      <c r="C125" s="2040"/>
      <c r="D125" s="2040"/>
      <c r="E125" s="2040"/>
      <c r="F125" s="2041"/>
      <c r="G125" s="821" t="s">
        <v>62</v>
      </c>
      <c r="H125" s="1687"/>
      <c r="I125" s="1688"/>
      <c r="J125" s="48"/>
      <c r="K125" s="48"/>
      <c r="L125" s="37" t="str">
        <f>IF(OR(B125="/",B125="No evidence required at this submission stage"),"Yes",IF(H125="Submitted","Yes","No"))</f>
        <v>No</v>
      </c>
    </row>
    <row r="126" spans="1:15" ht="18" customHeight="1" x14ac:dyDescent="0.25">
      <c r="A126" s="48"/>
      <c r="B126" s="49"/>
      <c r="C126" s="49"/>
      <c r="D126" s="49"/>
      <c r="E126" s="48"/>
      <c r="F126" s="48"/>
      <c r="G126" s="48"/>
      <c r="H126" s="48"/>
      <c r="I126" s="48"/>
      <c r="J126" s="48"/>
      <c r="K126" s="48"/>
    </row>
    <row r="127" spans="1:15" ht="16.5" customHeight="1" x14ac:dyDescent="0.25">
      <c r="A127" s="382" t="s">
        <v>8</v>
      </c>
      <c r="B127" s="383"/>
      <c r="C127" s="314"/>
      <c r="D127" s="49"/>
      <c r="E127" s="49"/>
      <c r="F127" s="49"/>
      <c r="G127" s="49"/>
      <c r="H127" s="49"/>
      <c r="I127" s="49"/>
      <c r="J127" s="49"/>
      <c r="K127" s="49"/>
    </row>
    <row r="128" spans="1:15" ht="16.5" customHeight="1" x14ac:dyDescent="0.25">
      <c r="A128" s="48"/>
      <c r="B128" s="49"/>
      <c r="C128" s="49"/>
      <c r="D128" s="49"/>
      <c r="E128" s="49"/>
      <c r="F128" s="48"/>
      <c r="G128" s="48"/>
      <c r="H128" s="48"/>
      <c r="I128" s="48"/>
      <c r="J128" s="48"/>
      <c r="K128" s="48"/>
    </row>
    <row r="129" spans="1:11" ht="18" customHeight="1" x14ac:dyDescent="0.25">
      <c r="A129" s="48"/>
      <c r="B129" s="385" t="s">
        <v>19</v>
      </c>
      <c r="C129" s="8">
        <f>IF(E119="Yes",1,0)</f>
        <v>0</v>
      </c>
      <c r="D129" s="49"/>
      <c r="E129" s="48"/>
      <c r="F129" s="48"/>
      <c r="G129" s="48"/>
      <c r="H129" s="48"/>
      <c r="I129" s="48"/>
      <c r="J129" s="48"/>
      <c r="K129" s="48"/>
    </row>
    <row r="130" spans="1:11" ht="18" customHeight="1" x14ac:dyDescent="0.25">
      <c r="A130" s="48"/>
      <c r="B130" s="385" t="s">
        <v>151</v>
      </c>
      <c r="C130" s="116" t="str">
        <f>IF(AND(COUNTIF(L124:L124,"Yes")=1,C129&gt;0),"Yes","No")</f>
        <v>No</v>
      </c>
      <c r="D130" s="49"/>
      <c r="E130" s="49"/>
      <c r="F130" s="48"/>
      <c r="G130" s="48"/>
      <c r="H130" s="48"/>
      <c r="I130" s="48"/>
      <c r="J130" s="48"/>
      <c r="K130" s="48"/>
    </row>
    <row r="131" spans="1:11" ht="18" customHeight="1" x14ac:dyDescent="0.25">
      <c r="A131" s="48"/>
      <c r="B131" s="49"/>
      <c r="C131" s="49"/>
      <c r="D131" s="49"/>
      <c r="E131" s="49"/>
      <c r="F131" s="48"/>
      <c r="G131" s="48"/>
      <c r="H131" s="48"/>
      <c r="I131" s="48"/>
      <c r="J131" s="48"/>
      <c r="K131" s="48"/>
    </row>
    <row r="132" spans="1:11" hidden="1" x14ac:dyDescent="0.25">
      <c r="A132" s="48"/>
      <c r="B132" s="49"/>
      <c r="C132" s="49"/>
      <c r="D132" s="49"/>
      <c r="E132" s="49"/>
      <c r="F132" s="48"/>
      <c r="G132" s="48"/>
      <c r="H132" s="48"/>
      <c r="I132" s="48"/>
      <c r="J132" s="48"/>
      <c r="K132" s="48"/>
    </row>
    <row r="133" spans="1:11" ht="15" hidden="1" customHeight="1" x14ac:dyDescent="0.25"/>
    <row r="134" spans="1:11" ht="15" hidden="1" customHeight="1" x14ac:dyDescent="0.25"/>
    <row r="135" spans="1:11" ht="15" hidden="1" customHeight="1" x14ac:dyDescent="0.25"/>
    <row r="136" spans="1:11" ht="15" hidden="1" customHeight="1" x14ac:dyDescent="0.25"/>
    <row r="137" spans="1:11" ht="15" hidden="1" customHeight="1" x14ac:dyDescent="0.25"/>
    <row r="138" spans="1:11" ht="15" hidden="1" customHeight="1" x14ac:dyDescent="0.25"/>
    <row r="139" spans="1:11" ht="15" hidden="1" customHeight="1" x14ac:dyDescent="0.25"/>
    <row r="140" spans="1:11" ht="15" hidden="1" customHeight="1" x14ac:dyDescent="0.25"/>
    <row r="141" spans="1:11" ht="15" hidden="1" customHeight="1" x14ac:dyDescent="0.25"/>
    <row r="142" spans="1:11" ht="15" hidden="1" customHeight="1" x14ac:dyDescent="0.25"/>
    <row r="143" spans="1:11" ht="15" hidden="1" customHeight="1" x14ac:dyDescent="0.25"/>
    <row r="144" spans="1:11"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sheetData>
  <sheetProtection algorithmName="SHA-512" hashValue="HRW7LVpAcZ2MPFfTGIep0vyhjNvFwjiiI11b+a4oa/4CokLTrYHOh2QF2YG0Ql0yUBblGtG3ifi0O2m8Hxm1eQ==" saltValue="lZdghwEIoI/LbwYxtm/3fQ==" spinCount="100000" sheet="1" objects="1" scenarios="1"/>
  <mergeCells count="75">
    <mergeCell ref="B123:F123"/>
    <mergeCell ref="H123:I123"/>
    <mergeCell ref="H124:I124"/>
    <mergeCell ref="H125:I125"/>
    <mergeCell ref="B17:E17"/>
    <mergeCell ref="H45:I45"/>
    <mergeCell ref="H46:I46"/>
    <mergeCell ref="D45:E45"/>
    <mergeCell ref="B56:F56"/>
    <mergeCell ref="B57:F57"/>
    <mergeCell ref="H55:I55"/>
    <mergeCell ref="H56:I56"/>
    <mergeCell ref="H57:I57"/>
    <mergeCell ref="B55:F55"/>
    <mergeCell ref="D40:E40"/>
    <mergeCell ref="H40:I40"/>
    <mergeCell ref="F81:G81"/>
    <mergeCell ref="F82:G82"/>
    <mergeCell ref="F83:G83"/>
    <mergeCell ref="B97:G97"/>
    <mergeCell ref="H39:I39"/>
    <mergeCell ref="A72:C72"/>
    <mergeCell ref="A59:C59"/>
    <mergeCell ref="A66:C66"/>
    <mergeCell ref="B51:D51"/>
    <mergeCell ref="F117:I117"/>
    <mergeCell ref="F112:I112"/>
    <mergeCell ref="F113:I113"/>
    <mergeCell ref="A95:C95"/>
    <mergeCell ref="F116:I116"/>
    <mergeCell ref="A1:K1"/>
    <mergeCell ref="A9:K9"/>
    <mergeCell ref="A19:K19"/>
    <mergeCell ref="A64:K64"/>
    <mergeCell ref="B35:F35"/>
    <mergeCell ref="D48:E48"/>
    <mergeCell ref="H48:I48"/>
    <mergeCell ref="D49:E49"/>
    <mergeCell ref="H49:I49"/>
    <mergeCell ref="D41:E41"/>
    <mergeCell ref="H41:I41"/>
    <mergeCell ref="D44:E44"/>
    <mergeCell ref="H44:I44"/>
    <mergeCell ref="D47:E47"/>
    <mergeCell ref="H47:I47"/>
    <mergeCell ref="D46:E46"/>
    <mergeCell ref="B23:J23"/>
    <mergeCell ref="D39:E39"/>
    <mergeCell ref="D43:E43"/>
    <mergeCell ref="H43:I43"/>
    <mergeCell ref="D42:E42"/>
    <mergeCell ref="H42:I42"/>
    <mergeCell ref="I2:J4"/>
    <mergeCell ref="A5:K7"/>
    <mergeCell ref="B14:E14"/>
    <mergeCell ref="B15:E15"/>
    <mergeCell ref="B16:E16"/>
    <mergeCell ref="B11:E11"/>
    <mergeCell ref="B12:E12"/>
    <mergeCell ref="B125:F125"/>
    <mergeCell ref="B117:D117"/>
    <mergeCell ref="B78:C78"/>
    <mergeCell ref="F90:G90"/>
    <mergeCell ref="F91:G91"/>
    <mergeCell ref="B116:D116"/>
    <mergeCell ref="B93:E93"/>
    <mergeCell ref="B113:D113"/>
    <mergeCell ref="F114:I114"/>
    <mergeCell ref="F115:I115"/>
    <mergeCell ref="B124:F124"/>
    <mergeCell ref="B112:E112"/>
    <mergeCell ref="B119:D119"/>
    <mergeCell ref="B114:D114"/>
    <mergeCell ref="B115:D115"/>
    <mergeCell ref="A104:K104"/>
  </mergeCells>
  <conditionalFormatting sqref="G124:I125">
    <cfRule type="expression" dxfId="371" priority="1">
      <formula>$B124="/"</formula>
    </cfRule>
    <cfRule type="expression" dxfId="370" priority="2">
      <formula>$B124="No evidence required at this submission stage"</formula>
    </cfRule>
  </conditionalFormatting>
  <conditionalFormatting sqref="G56:I57">
    <cfRule type="expression" dxfId="369" priority="3">
      <formula>$B56="/"</formula>
    </cfRule>
    <cfRule type="expression" dxfId="368" priority="4">
      <formula>$B56="No evidence required at this submission stage"</formula>
    </cfRule>
  </conditionalFormatting>
  <dataValidations count="7">
    <dataValidation allowBlank="1" showInputMessage="1" showErrorMessage="1" prompt="Onsite, recycling facilities, landfill, reuse location, etc." sqref="G39 E81"/>
    <dataValidation type="list" allowBlank="1" showInputMessage="1" showErrorMessage="1" sqref="D82:D91">
      <formula1>"Select,Reuse,Recycling,Landfill"</formula1>
    </dataValidation>
    <dataValidation type="list" allowBlank="1" showInputMessage="1" showErrorMessage="1" sqref="D78">
      <formula1>"Select,Volume (m3),Weight (kg)"</formula1>
    </dataValidation>
    <dataValidation allowBlank="1" showInputMessage="1" showErrorMessage="1" prompt="Which types of waste were targeted?_x000a_How the strategy was implemented?_x000a_Estimation of the reduction of waste generation" sqref="F112:I117"/>
    <dataValidation type="list" allowBlank="1" showInputMessage="1" showErrorMessage="1" sqref="F40:F49">
      <formula1>"Select,Reuse,Recycling,Landfill,Other"</formula1>
    </dataValidation>
    <dataValidation type="list" allowBlank="1" showInputMessage="1" showErrorMessage="1" sqref="E113:E117">
      <formula1>"Select,Yes,No"</formula1>
    </dataValidation>
    <dataValidation type="list" allowBlank="1" showInputMessage="1" showErrorMessage="1" sqref="G56:G57 G124:G125">
      <formula1>"Select,Submitted,Not submitted"</formula1>
    </dataValidation>
  </dataValidations>
  <hyperlinks>
    <hyperlink ref="K3" location="'WP-3 Operation Waste Management'!B3" tooltip="WP-3" display="WP-3"/>
    <hyperlink ref="K2" location="'WP-1 Refrigerants'!B3" tooltip="WP-1" display="WP-1"/>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4A562A"/>
  </sheetPr>
  <dimension ref="A1:Q92"/>
  <sheetViews>
    <sheetView showRowColHeaders="0" workbookViewId="0">
      <pane ySplit="8" topLeftCell="A9" activePane="bottomLeft" state="frozen"/>
      <selection activeCell="H22" sqref="H22"/>
      <selection pane="bottomLeft" activeCell="B26" sqref="B26:D26"/>
    </sheetView>
  </sheetViews>
  <sheetFormatPr defaultColWidth="0" defaultRowHeight="0" customHeight="1" zeroHeight="1" x14ac:dyDescent="0.25"/>
  <cols>
    <col min="1" max="1" width="5.7109375" style="37" customWidth="1"/>
    <col min="2" max="7" width="18.42578125" style="37" customWidth="1"/>
    <col min="8" max="8" width="21.42578125" style="37" customWidth="1"/>
    <col min="9" max="11" width="10.42578125" style="37" customWidth="1"/>
    <col min="12" max="14" width="9.140625" style="37" hidden="1" customWidth="1"/>
    <col min="15" max="16" width="11.140625" style="37" hidden="1" customWidth="1"/>
    <col min="17" max="16384" width="9.140625" style="37" hidden="1"/>
  </cols>
  <sheetData>
    <row r="1" spans="1:12" ht="23.25" x14ac:dyDescent="0.25">
      <c r="A1" s="2016" t="s">
        <v>2308</v>
      </c>
      <c r="B1" s="2016"/>
      <c r="C1" s="2016"/>
      <c r="D1" s="2016"/>
      <c r="E1" s="2016"/>
      <c r="F1" s="2016"/>
      <c r="G1" s="2016"/>
      <c r="H1" s="2016"/>
      <c r="I1" s="2016"/>
      <c r="J1" s="2016"/>
      <c r="K1" s="2016"/>
    </row>
    <row r="2" spans="1:12" ht="15" customHeight="1" x14ac:dyDescent="0.25">
      <c r="A2" s="48"/>
      <c r="B2" s="49"/>
      <c r="C2" s="49"/>
      <c r="D2" s="49"/>
      <c r="E2" s="49"/>
      <c r="F2" s="48"/>
      <c r="G2" s="1694" t="s">
        <v>352</v>
      </c>
      <c r="H2" s="1694"/>
      <c r="I2" s="1694"/>
      <c r="J2" s="1694"/>
      <c r="K2" s="1987" t="s">
        <v>1213</v>
      </c>
    </row>
    <row r="3" spans="1:12" ht="15" customHeight="1" x14ac:dyDescent="0.25">
      <c r="A3" s="48"/>
      <c r="B3" s="49"/>
      <c r="C3" s="49"/>
      <c r="D3" s="49"/>
      <c r="E3" s="49"/>
      <c r="F3" s="48"/>
      <c r="G3" s="1694"/>
      <c r="H3" s="1694"/>
      <c r="I3" s="1694"/>
      <c r="J3" s="1694"/>
      <c r="K3" s="1987"/>
    </row>
    <row r="4" spans="1:12" ht="15" customHeight="1" x14ac:dyDescent="0.25">
      <c r="A4" s="48"/>
      <c r="B4" s="49"/>
      <c r="C4" s="49"/>
      <c r="D4" s="49"/>
      <c r="E4" s="49"/>
      <c r="F4" s="48"/>
      <c r="G4" s="1695"/>
      <c r="H4" s="1695"/>
      <c r="I4" s="1695"/>
      <c r="J4" s="1695"/>
      <c r="K4" s="313" t="s">
        <v>305</v>
      </c>
    </row>
    <row r="5" spans="1:12" ht="21" customHeight="1" x14ac:dyDescent="0.25">
      <c r="A5" s="1704" t="s">
        <v>2858</v>
      </c>
      <c r="B5" s="1705"/>
      <c r="C5" s="1705"/>
      <c r="D5" s="1705"/>
      <c r="E5" s="1705"/>
      <c r="F5" s="1705"/>
      <c r="G5" s="1705"/>
      <c r="H5" s="1705"/>
      <c r="I5" s="1705"/>
      <c r="J5" s="1705"/>
      <c r="K5" s="1706"/>
    </row>
    <row r="6" spans="1:12" ht="21" customHeight="1" x14ac:dyDescent="0.25">
      <c r="A6" s="1707"/>
      <c r="B6" s="1708"/>
      <c r="C6" s="1708"/>
      <c r="D6" s="1708"/>
      <c r="E6" s="1708"/>
      <c r="F6" s="1708"/>
      <c r="G6" s="1708"/>
      <c r="H6" s="1708"/>
      <c r="I6" s="1708"/>
      <c r="J6" s="1708"/>
      <c r="K6" s="1709"/>
    </row>
    <row r="7" spans="1:12" ht="21" customHeight="1" x14ac:dyDescent="0.25">
      <c r="A7" s="1710"/>
      <c r="B7" s="1711"/>
      <c r="C7" s="1711"/>
      <c r="D7" s="1711"/>
      <c r="E7" s="1711"/>
      <c r="F7" s="1711"/>
      <c r="G7" s="1711"/>
      <c r="H7" s="1711"/>
      <c r="I7" s="1711"/>
      <c r="J7" s="1711"/>
      <c r="K7" s="1712"/>
    </row>
    <row r="8" spans="1:12" ht="12" customHeight="1" x14ac:dyDescent="0.25">
      <c r="A8" s="48"/>
      <c r="B8" s="49"/>
      <c r="C8" s="49"/>
      <c r="D8" s="49"/>
      <c r="E8" s="49"/>
      <c r="F8" s="48"/>
      <c r="G8" s="48"/>
      <c r="H8" s="48"/>
      <c r="I8" s="48"/>
      <c r="J8" s="48"/>
      <c r="K8" s="48"/>
    </row>
    <row r="9" spans="1:12" ht="18" customHeight="1" x14ac:dyDescent="0.25">
      <c r="A9" s="2014" t="s">
        <v>95</v>
      </c>
      <c r="B9" s="2014"/>
      <c r="C9" s="2014"/>
      <c r="D9" s="2014"/>
      <c r="E9" s="2014"/>
      <c r="F9" s="2014"/>
      <c r="G9" s="2014"/>
      <c r="H9" s="2014"/>
      <c r="I9" s="2014"/>
      <c r="J9" s="2014"/>
      <c r="K9" s="2014"/>
    </row>
    <row r="10" spans="1:12" ht="15" x14ac:dyDescent="0.25">
      <c r="A10" s="48"/>
      <c r="B10" s="317"/>
      <c r="C10" s="317"/>
      <c r="D10" s="317"/>
      <c r="E10" s="317"/>
      <c r="F10" s="317"/>
      <c r="G10" s="317"/>
      <c r="H10" s="317"/>
      <c r="I10" s="48"/>
      <c r="J10" s="48"/>
      <c r="K10" s="48"/>
    </row>
    <row r="11" spans="1:12" ht="18" customHeight="1" x14ac:dyDescent="0.25">
      <c r="A11" s="48"/>
      <c r="B11" s="2078" t="s">
        <v>96</v>
      </c>
      <c r="C11" s="2079"/>
      <c r="D11" s="2079"/>
      <c r="E11" s="2079"/>
      <c r="F11" s="505" t="s">
        <v>75</v>
      </c>
      <c r="G11" s="315" t="s">
        <v>19</v>
      </c>
      <c r="H11" s="315" t="s">
        <v>151</v>
      </c>
      <c r="I11" s="283"/>
      <c r="J11" s="48"/>
      <c r="K11" s="48"/>
    </row>
    <row r="12" spans="1:12" ht="30" customHeight="1" x14ac:dyDescent="0.25">
      <c r="A12" s="48"/>
      <c r="B12" s="1742" t="s">
        <v>2857</v>
      </c>
      <c r="C12" s="1743"/>
      <c r="D12" s="1743"/>
      <c r="E12" s="1744"/>
      <c r="F12" s="300">
        <v>1</v>
      </c>
      <c r="G12" s="279">
        <f>C41</f>
        <v>0</v>
      </c>
      <c r="H12" s="279" t="str">
        <f>C42</f>
        <v>No</v>
      </c>
      <c r="I12" s="72"/>
      <c r="J12" s="72"/>
      <c r="K12" s="48"/>
      <c r="L12" s="37" t="str">
        <f>IF(G12&lt;&gt;0,IF(H12="No","No","Yes"),"Yes")</f>
        <v>Yes</v>
      </c>
    </row>
    <row r="13" spans="1:12" ht="30" customHeight="1" x14ac:dyDescent="0.25">
      <c r="A13" s="48"/>
      <c r="B13" s="1742" t="s">
        <v>579</v>
      </c>
      <c r="C13" s="1743"/>
      <c r="D13" s="1743"/>
      <c r="E13" s="1744"/>
      <c r="F13" s="320">
        <v>1</v>
      </c>
      <c r="G13" s="320">
        <f>C88</f>
        <v>0</v>
      </c>
      <c r="H13" s="320" t="str">
        <f>C89</f>
        <v>No</v>
      </c>
      <c r="I13" s="72"/>
      <c r="J13" s="72"/>
      <c r="K13" s="48"/>
      <c r="L13" s="37" t="str">
        <f>IF(G13&lt;&gt;0,IF(H13="No","No","Yes"),"Yes")</f>
        <v>Yes</v>
      </c>
    </row>
    <row r="14" spans="1:12" ht="19.5" customHeight="1" x14ac:dyDescent="0.25">
      <c r="A14" s="48"/>
      <c r="B14" s="1713" t="s">
        <v>29</v>
      </c>
      <c r="C14" s="1740"/>
      <c r="D14" s="1740"/>
      <c r="E14" s="1741"/>
      <c r="F14" s="612">
        <v>2</v>
      </c>
      <c r="G14" s="612">
        <f>MIN(2,G12+G13)</f>
        <v>0</v>
      </c>
      <c r="H14" s="612" t="str">
        <f>IF(COUNTIF(H12:H13,"No")=2,"No",IF(COUNTIF(L12:L13,"Yes")=2,"Yes","No"))</f>
        <v>No</v>
      </c>
      <c r="I14" s="72"/>
      <c r="J14" s="72"/>
      <c r="K14" s="48"/>
    </row>
    <row r="15" spans="1:12" ht="15" x14ac:dyDescent="0.25">
      <c r="A15" s="48"/>
      <c r="B15" s="49"/>
      <c r="C15" s="49"/>
      <c r="D15" s="49"/>
      <c r="E15" s="49"/>
      <c r="F15" s="48"/>
      <c r="G15" s="48"/>
      <c r="H15" s="48"/>
      <c r="I15" s="48"/>
      <c r="J15" s="48"/>
      <c r="K15" s="48"/>
    </row>
    <row r="16" spans="1:12" ht="18" customHeight="1" x14ac:dyDescent="0.25">
      <c r="A16" s="2014" t="s">
        <v>580</v>
      </c>
      <c r="B16" s="2014"/>
      <c r="C16" s="2014"/>
      <c r="D16" s="2014"/>
      <c r="E16" s="2014"/>
      <c r="F16" s="2014"/>
      <c r="G16" s="2014"/>
      <c r="H16" s="2014"/>
      <c r="I16" s="2014"/>
      <c r="J16" s="2014"/>
      <c r="K16" s="2014"/>
    </row>
    <row r="17" spans="1:13" ht="15" x14ac:dyDescent="0.25">
      <c r="A17" s="48"/>
      <c r="B17" s="49"/>
      <c r="C17" s="49"/>
      <c r="D17" s="49"/>
      <c r="E17" s="49"/>
      <c r="F17" s="49"/>
      <c r="G17" s="48"/>
      <c r="H17" s="48"/>
      <c r="I17" s="48"/>
      <c r="J17" s="48"/>
      <c r="K17" s="48"/>
    </row>
    <row r="18" spans="1:13" ht="18" customHeight="1" x14ac:dyDescent="0.25">
      <c r="A18" s="1999" t="s">
        <v>117</v>
      </c>
      <c r="B18" s="1999"/>
      <c r="C18" s="1999"/>
      <c r="D18" s="49"/>
      <c r="E18" s="49"/>
      <c r="F18" s="49"/>
      <c r="G18" s="504"/>
      <c r="H18" s="49"/>
      <c r="I18" s="49"/>
      <c r="J18" s="49"/>
      <c r="K18" s="49"/>
    </row>
    <row r="19" spans="1:13" ht="15" x14ac:dyDescent="0.25">
      <c r="A19" s="48"/>
      <c r="B19" s="49"/>
      <c r="C19" s="49"/>
      <c r="D19" s="49"/>
      <c r="E19" s="49"/>
      <c r="F19" s="49"/>
      <c r="G19" s="48"/>
      <c r="H19" s="48"/>
      <c r="I19" s="48"/>
      <c r="J19" s="48"/>
      <c r="K19" s="48"/>
    </row>
    <row r="20" spans="1:13" ht="15" x14ac:dyDescent="0.25">
      <c r="A20" s="48"/>
      <c r="B20" s="625" t="s">
        <v>797</v>
      </c>
      <c r="C20" s="49"/>
      <c r="D20" s="49"/>
      <c r="E20" s="49"/>
      <c r="F20" s="49"/>
      <c r="G20" s="48"/>
      <c r="H20" s="48"/>
      <c r="I20" s="48"/>
      <c r="J20" s="48"/>
      <c r="K20" s="48"/>
    </row>
    <row r="21" spans="1:13" ht="13.5" customHeight="1" x14ac:dyDescent="0.25">
      <c r="A21" s="48"/>
      <c r="B21" s="49"/>
      <c r="C21" s="49"/>
      <c r="D21" s="49"/>
      <c r="E21" s="49"/>
      <c r="F21" s="49"/>
      <c r="G21" s="48"/>
      <c r="H21" s="48"/>
      <c r="I21" s="48"/>
      <c r="J21" s="48"/>
      <c r="K21" s="48"/>
    </row>
    <row r="22" spans="1:13" ht="15" x14ac:dyDescent="0.25">
      <c r="A22" s="48"/>
      <c r="B22" s="49"/>
      <c r="C22" s="49"/>
      <c r="D22" s="49"/>
      <c r="E22" s="49"/>
      <c r="F22" s="49"/>
      <c r="G22" s="48"/>
      <c r="H22" s="48"/>
      <c r="I22" s="48"/>
      <c r="J22" s="48"/>
      <c r="K22" s="48"/>
    </row>
    <row r="23" spans="1:13" ht="15" customHeight="1" x14ac:dyDescent="0.25">
      <c r="A23" s="48"/>
      <c r="B23" s="1900" t="s">
        <v>1254</v>
      </c>
      <c r="C23" s="1900"/>
      <c r="D23" s="1900"/>
      <c r="E23" s="1900"/>
      <c r="F23" s="1900"/>
      <c r="G23" s="1900"/>
      <c r="H23" s="48"/>
      <c r="I23" s="48"/>
      <c r="J23" s="48"/>
      <c r="K23" s="48"/>
    </row>
    <row r="24" spans="1:13" ht="11.25" customHeight="1" x14ac:dyDescent="0.25">
      <c r="A24" s="48"/>
      <c r="B24" s="777"/>
      <c r="C24" s="777"/>
      <c r="D24" s="777"/>
      <c r="E24" s="777"/>
      <c r="F24" s="777"/>
      <c r="G24" s="48"/>
      <c r="H24" s="48"/>
      <c r="I24" s="48"/>
      <c r="J24" s="48"/>
      <c r="K24" s="48"/>
    </row>
    <row r="25" spans="1:13" ht="18" customHeight="1" x14ac:dyDescent="0.25">
      <c r="A25" s="48"/>
      <c r="B25" s="2080" t="s">
        <v>1255</v>
      </c>
      <c r="C25" s="2081"/>
      <c r="D25" s="2081"/>
      <c r="E25" s="2082" t="str">
        <f>IF('Project information'!$C$7="Full Certification stage","Actions and management practices implemented","Actions and management practices to be implemented")</f>
        <v>Actions and management practices to be implemented</v>
      </c>
      <c r="F25" s="2082"/>
      <c r="G25" s="2082"/>
      <c r="H25" s="2082"/>
      <c r="I25" s="2082"/>
      <c r="J25" s="48"/>
      <c r="K25" s="48"/>
    </row>
    <row r="26" spans="1:13" ht="63" customHeight="1" x14ac:dyDescent="0.25">
      <c r="A26" s="48"/>
      <c r="B26" s="2071" t="s">
        <v>1728</v>
      </c>
      <c r="C26" s="2040"/>
      <c r="D26" s="2040"/>
      <c r="E26" s="2072"/>
      <c r="F26" s="2072"/>
      <c r="G26" s="2072"/>
      <c r="H26" s="2072"/>
      <c r="I26" s="2072"/>
      <c r="J26" s="48"/>
      <c r="K26" s="48"/>
      <c r="L26" s="71"/>
      <c r="M26" s="71"/>
    </row>
    <row r="27" spans="1:13" ht="63" customHeight="1" x14ac:dyDescent="0.25">
      <c r="A27" s="48"/>
      <c r="B27" s="2071" t="s">
        <v>1258</v>
      </c>
      <c r="C27" s="2040"/>
      <c r="D27" s="2073"/>
      <c r="E27" s="2072"/>
      <c r="F27" s="2072"/>
      <c r="G27" s="2072"/>
      <c r="H27" s="2072"/>
      <c r="I27" s="2072"/>
      <c r="J27" s="48"/>
      <c r="K27" s="48"/>
      <c r="L27" s="71"/>
      <c r="M27" s="71"/>
    </row>
    <row r="28" spans="1:13" ht="63" customHeight="1" x14ac:dyDescent="0.25">
      <c r="A28" s="48"/>
      <c r="B28" s="2071" t="s">
        <v>1256</v>
      </c>
      <c r="C28" s="2040"/>
      <c r="D28" s="2073"/>
      <c r="E28" s="2072"/>
      <c r="F28" s="2072"/>
      <c r="G28" s="2072"/>
      <c r="H28" s="2072"/>
      <c r="I28" s="2072"/>
      <c r="J28" s="48"/>
      <c r="K28" s="48"/>
      <c r="L28" s="71"/>
      <c r="M28" s="71"/>
    </row>
    <row r="29" spans="1:13" ht="63" customHeight="1" x14ac:dyDescent="0.25">
      <c r="A29" s="48"/>
      <c r="B29" s="2071" t="s">
        <v>1257</v>
      </c>
      <c r="C29" s="2040"/>
      <c r="D29" s="2073"/>
      <c r="E29" s="2072"/>
      <c r="F29" s="2072"/>
      <c r="G29" s="2072"/>
      <c r="H29" s="2072"/>
      <c r="I29" s="2072"/>
      <c r="J29" s="48"/>
      <c r="K29" s="48"/>
      <c r="L29" s="71"/>
      <c r="M29" s="71"/>
    </row>
    <row r="30" spans="1:13" ht="18.75" customHeight="1" x14ac:dyDescent="0.25">
      <c r="A30" s="48"/>
      <c r="B30" s="49"/>
      <c r="C30" s="49"/>
      <c r="D30" s="49"/>
      <c r="E30" s="49"/>
      <c r="F30" s="48"/>
      <c r="G30" s="48"/>
      <c r="H30" s="48"/>
      <c r="I30" s="48"/>
      <c r="J30" s="48"/>
      <c r="K30" s="69"/>
    </row>
    <row r="31" spans="1:13" ht="18" customHeight="1" x14ac:dyDescent="0.25">
      <c r="A31" s="48"/>
      <c r="B31" s="2058" t="s">
        <v>174</v>
      </c>
      <c r="C31" s="2058"/>
      <c r="D31" s="157" t="str">
        <f>IF(AND(E26&lt;&gt;"",E28&lt;&gt;"",E27&lt;&gt;"",E29&lt;&gt;""),"Yes","No")</f>
        <v>No</v>
      </c>
      <c r="E31" s="49"/>
      <c r="F31" s="48"/>
      <c r="G31" s="48"/>
      <c r="H31" s="48"/>
      <c r="I31" s="48"/>
      <c r="J31" s="48"/>
      <c r="K31" s="69"/>
    </row>
    <row r="32" spans="1:13" customFormat="1" ht="18.75" customHeight="1" x14ac:dyDescent="0.25">
      <c r="A32" s="48"/>
      <c r="B32" s="49"/>
      <c r="C32" s="49"/>
      <c r="D32" s="49"/>
      <c r="E32" s="49"/>
      <c r="F32" s="48"/>
      <c r="G32" s="48"/>
      <c r="H32" s="48"/>
      <c r="I32" s="48"/>
      <c r="J32" s="48"/>
      <c r="K32" s="69"/>
    </row>
    <row r="33" spans="1:15" customFormat="1" ht="18" customHeight="1" x14ac:dyDescent="0.25">
      <c r="A33" s="1999" t="s">
        <v>97</v>
      </c>
      <c r="B33" s="1999"/>
      <c r="C33" s="1999"/>
      <c r="D33" s="49"/>
      <c r="E33" s="49"/>
      <c r="F33" s="49"/>
      <c r="G33" s="49"/>
      <c r="H33" s="49"/>
      <c r="I33" s="49"/>
      <c r="J33" s="49"/>
      <c r="K33" s="49"/>
    </row>
    <row r="34" spans="1:15" customFormat="1" ht="15" x14ac:dyDescent="0.25">
      <c r="A34" s="48"/>
      <c r="B34" s="49"/>
      <c r="C34" s="49"/>
      <c r="D34" s="49"/>
      <c r="E34" s="49"/>
      <c r="F34" s="48"/>
      <c r="G34" s="48"/>
      <c r="H34" s="48"/>
      <c r="I34" s="48"/>
      <c r="J34" s="48"/>
      <c r="K34" s="69"/>
    </row>
    <row r="35" spans="1:15" customFormat="1" ht="21" customHeight="1" x14ac:dyDescent="0.25">
      <c r="A35" s="48"/>
      <c r="B35" s="2017" t="s">
        <v>98</v>
      </c>
      <c r="C35" s="2018"/>
      <c r="D35" s="2018"/>
      <c r="E35" s="2018"/>
      <c r="F35" s="2018"/>
      <c r="G35" s="926" t="s">
        <v>1297</v>
      </c>
      <c r="H35" s="1997" t="s">
        <v>1298</v>
      </c>
      <c r="I35" s="1998"/>
      <c r="J35" s="48"/>
      <c r="K35" s="48"/>
    </row>
    <row r="36" spans="1:15" customFormat="1" ht="30" customHeight="1" x14ac:dyDescent="0.25">
      <c r="A36" s="48"/>
      <c r="B36" s="1644" t="str">
        <f>Submittals!H73</f>
        <v>Select the Submission Stage in Project Information</v>
      </c>
      <c r="C36" s="1645"/>
      <c r="D36" s="1645"/>
      <c r="E36" s="1645"/>
      <c r="F36" s="1646"/>
      <c r="G36" s="919" t="s">
        <v>62</v>
      </c>
      <c r="H36" s="1625"/>
      <c r="I36" s="1626"/>
      <c r="J36" s="48"/>
      <c r="K36" s="48"/>
      <c r="L36" s="37" t="str">
        <f>IF(OR(B36="/",B36="No evidence required at this submission stage"),"Yes",IF(G36="Submitted","Yes","No"))</f>
        <v>No</v>
      </c>
      <c r="O36" s="37"/>
    </row>
    <row r="37" spans="1:15" customFormat="1" ht="30" customHeight="1" x14ac:dyDescent="0.25">
      <c r="A37" s="48"/>
      <c r="B37" s="1644" t="str">
        <f>Submittals!H74</f>
        <v>Select the Submission Stage in Project Information</v>
      </c>
      <c r="C37" s="1645"/>
      <c r="D37" s="1645"/>
      <c r="E37" s="1645"/>
      <c r="F37" s="1646"/>
      <c r="G37" s="919" t="s">
        <v>62</v>
      </c>
      <c r="H37" s="1687"/>
      <c r="I37" s="1688"/>
      <c r="J37" s="48"/>
      <c r="K37" s="48"/>
      <c r="L37" s="37" t="str">
        <f>IF(OR(B37="/",B37="No evidence required at this submission stage"),"Yes",IF(G37="Submitted","Yes","No"))</f>
        <v>No</v>
      </c>
      <c r="O37" s="37"/>
    </row>
    <row r="38" spans="1:15" ht="19.5" customHeight="1" x14ac:dyDescent="0.25">
      <c r="A38" s="48"/>
      <c r="B38" s="49"/>
      <c r="C38" s="49"/>
      <c r="D38" s="49"/>
      <c r="E38" s="49"/>
      <c r="F38" s="48"/>
      <c r="G38" s="48"/>
      <c r="H38" s="48"/>
      <c r="I38" s="48"/>
      <c r="J38" s="48"/>
      <c r="K38" s="69"/>
    </row>
    <row r="39" spans="1:15" ht="18" customHeight="1" x14ac:dyDescent="0.25">
      <c r="A39" s="1999" t="s">
        <v>8</v>
      </c>
      <c r="B39" s="1999"/>
      <c r="C39" s="1999"/>
      <c r="D39" s="49"/>
      <c r="E39" s="49"/>
      <c r="F39" s="49"/>
      <c r="G39" s="49"/>
      <c r="H39" s="49"/>
      <c r="I39" s="49"/>
      <c r="J39" s="49"/>
      <c r="K39" s="49"/>
    </row>
    <row r="40" spans="1:15" ht="15" x14ac:dyDescent="0.25">
      <c r="A40" s="48"/>
      <c r="B40" s="49"/>
      <c r="C40" s="49"/>
      <c r="D40" s="49"/>
      <c r="E40" s="49"/>
      <c r="F40" s="48"/>
      <c r="G40" s="48"/>
      <c r="H40" s="48"/>
      <c r="I40" s="48"/>
      <c r="J40" s="48"/>
      <c r="K40" s="48"/>
    </row>
    <row r="41" spans="1:15" ht="18" customHeight="1" x14ac:dyDescent="0.25">
      <c r="A41" s="48"/>
      <c r="B41" s="385" t="s">
        <v>19</v>
      </c>
      <c r="C41" s="8">
        <f>IF(D31="Yes",1,0)</f>
        <v>0</v>
      </c>
      <c r="D41" s="48"/>
      <c r="E41" s="48"/>
      <c r="F41" s="48"/>
      <c r="G41" s="48"/>
      <c r="H41" s="48"/>
      <c r="I41" s="48"/>
      <c r="J41" s="48"/>
      <c r="K41" s="48"/>
    </row>
    <row r="42" spans="1:15" ht="18" customHeight="1" x14ac:dyDescent="0.25">
      <c r="A42" s="48"/>
      <c r="B42" s="385" t="s">
        <v>151</v>
      </c>
      <c r="C42" s="116" t="str">
        <f>IF(AND(COUNTIF(L36:L37,"Yes")=2,C41&gt;0),"Yes","No")</f>
        <v>No</v>
      </c>
      <c r="D42" s="48"/>
      <c r="E42" s="48"/>
      <c r="F42" s="48"/>
      <c r="G42" s="48"/>
      <c r="H42" s="48"/>
      <c r="I42" s="48"/>
      <c r="J42" s="48"/>
      <c r="K42" s="48"/>
    </row>
    <row r="43" spans="1:15" ht="20.25" customHeight="1" x14ac:dyDescent="0.25">
      <c r="A43" s="48"/>
      <c r="B43" s="49"/>
      <c r="C43" s="49"/>
      <c r="D43" s="49"/>
      <c r="E43" s="49"/>
      <c r="F43" s="48"/>
      <c r="G43" s="48"/>
      <c r="H43" s="48"/>
      <c r="I43" s="48"/>
      <c r="J43" s="48"/>
      <c r="K43" s="48"/>
    </row>
    <row r="44" spans="1:15" ht="18" customHeight="1" x14ac:dyDescent="0.25">
      <c r="A44" s="2014" t="s">
        <v>581</v>
      </c>
      <c r="B44" s="2014"/>
      <c r="C44" s="2014"/>
      <c r="D44" s="2014"/>
      <c r="E44" s="2014"/>
      <c r="F44" s="2014"/>
      <c r="G44" s="2014"/>
      <c r="H44" s="2014"/>
      <c r="I44" s="2014"/>
      <c r="J44" s="2014"/>
      <c r="K44" s="2014"/>
    </row>
    <row r="45" spans="1:15" ht="15" x14ac:dyDescent="0.25">
      <c r="A45" s="48"/>
      <c r="B45" s="49"/>
      <c r="C45" s="49"/>
      <c r="D45" s="49"/>
      <c r="E45" s="49"/>
      <c r="F45" s="49"/>
      <c r="G45" s="48"/>
      <c r="H45" s="48"/>
      <c r="I45" s="48"/>
      <c r="J45" s="48"/>
      <c r="K45" s="48"/>
    </row>
    <row r="46" spans="1:15" ht="16.5" customHeight="1" x14ac:dyDescent="0.25">
      <c r="A46" s="1999" t="s">
        <v>117</v>
      </c>
      <c r="B46" s="1999"/>
      <c r="C46" s="1999"/>
      <c r="D46" s="49"/>
      <c r="E46" s="49"/>
      <c r="F46" s="49"/>
      <c r="G46" s="49"/>
      <c r="H46" s="49"/>
      <c r="I46" s="49"/>
      <c r="J46" s="49"/>
      <c r="K46" s="49"/>
    </row>
    <row r="47" spans="1:15" ht="15" x14ac:dyDescent="0.25">
      <c r="A47" s="48"/>
      <c r="B47" s="49"/>
      <c r="C47" s="49"/>
      <c r="D47" s="49"/>
      <c r="E47" s="49"/>
      <c r="F47" s="49"/>
      <c r="G47" s="48"/>
      <c r="H47" s="48"/>
      <c r="I47" s="48"/>
      <c r="J47" s="48"/>
      <c r="K47" s="48"/>
    </row>
    <row r="48" spans="1:15" ht="15" x14ac:dyDescent="0.25">
      <c r="A48" s="48"/>
      <c r="B48" s="956" t="s">
        <v>803</v>
      </c>
      <c r="C48" s="511"/>
      <c r="D48" s="511"/>
      <c r="E48" s="511"/>
      <c r="F48" s="511"/>
      <c r="G48" s="511"/>
      <c r="H48" s="511"/>
      <c r="I48" s="512"/>
      <c r="J48" s="48"/>
      <c r="K48" s="48"/>
    </row>
    <row r="49" spans="1:17" ht="15" x14ac:dyDescent="0.25">
      <c r="A49" s="48"/>
      <c r="B49" s="627" t="s">
        <v>800</v>
      </c>
      <c r="C49" s="513"/>
      <c r="D49" s="513"/>
      <c r="E49" s="513"/>
      <c r="F49" s="513"/>
      <c r="G49" s="513"/>
      <c r="H49" s="513"/>
      <c r="I49" s="514"/>
      <c r="J49" s="48"/>
      <c r="K49" s="48"/>
    </row>
    <row r="50" spans="1:17" ht="15" x14ac:dyDescent="0.25">
      <c r="A50" s="48"/>
      <c r="B50" s="1039" t="s">
        <v>801</v>
      </c>
      <c r="C50" s="515"/>
      <c r="D50" s="515"/>
      <c r="E50" s="515"/>
      <c r="F50" s="515"/>
      <c r="G50" s="515"/>
      <c r="H50" s="515"/>
      <c r="I50" s="516"/>
      <c r="J50" s="48"/>
      <c r="K50" s="48"/>
    </row>
    <row r="51" spans="1:17" ht="15.75" customHeight="1" x14ac:dyDescent="0.25">
      <c r="A51" s="48"/>
      <c r="B51" s="49"/>
      <c r="C51" s="49"/>
      <c r="D51" s="49"/>
      <c r="E51" s="49"/>
      <c r="F51" s="49"/>
      <c r="G51" s="48"/>
      <c r="H51" s="48"/>
      <c r="I51" s="48"/>
      <c r="J51" s="48"/>
      <c r="K51" s="48"/>
    </row>
    <row r="52" spans="1:17" ht="15" x14ac:dyDescent="0.25">
      <c r="A52" s="48"/>
      <c r="B52" s="709" t="s">
        <v>1004</v>
      </c>
      <c r="C52" s="49"/>
      <c r="D52" s="49"/>
      <c r="E52" s="49"/>
      <c r="F52" s="49"/>
      <c r="G52" s="48"/>
      <c r="H52" s="48"/>
      <c r="I52" s="48"/>
      <c r="J52" s="48"/>
      <c r="K52" s="48"/>
    </row>
    <row r="53" spans="1:17" ht="12" customHeight="1" x14ac:dyDescent="0.25">
      <c r="A53" s="48"/>
      <c r="B53" s="49"/>
      <c r="C53" s="49"/>
      <c r="D53" s="49"/>
      <c r="E53" s="49"/>
      <c r="F53" s="49"/>
      <c r="G53" s="48"/>
      <c r="H53" s="48"/>
      <c r="I53" s="48"/>
      <c r="J53" s="48"/>
      <c r="K53" s="48"/>
    </row>
    <row r="54" spans="1:17" ht="18" customHeight="1" thickBot="1" x14ac:dyDescent="0.3">
      <c r="A54" s="48"/>
      <c r="B54" s="2074" t="str">
        <f>IF('Project information'!$C$7="Full Certification stage","• Where is the dedicated recycling storage area provided?","• Where is the dedicated recycling storage area provided?")</f>
        <v>• Where is the dedicated recycling storage area provided?</v>
      </c>
      <c r="C54" s="2074"/>
      <c r="D54" s="2074"/>
      <c r="E54" s="2074"/>
      <c r="F54" s="155" t="s">
        <v>62</v>
      </c>
      <c r="G54" s="500"/>
      <c r="H54" s="501"/>
      <c r="I54" s="501"/>
      <c r="J54" s="501"/>
      <c r="K54" s="501"/>
      <c r="O54" s="420" t="s">
        <v>599</v>
      </c>
      <c r="P54" s="421" t="s">
        <v>600</v>
      </c>
    </row>
    <row r="55" spans="1:17" ht="19.5" customHeight="1" thickBot="1" x14ac:dyDescent="0.3">
      <c r="A55" s="48"/>
      <c r="B55" s="2074" t="str">
        <f>IF('Project information'!$C$7="Full Certification stage","• If the storage area is provided in the base building, is it accessible to all tenants?","• If the storage area is provided in the base building, will it be accessible to all tenants?")</f>
        <v>• If the storage area is provided in the base building, will it be accessible to all tenants?</v>
      </c>
      <c r="C55" s="2074"/>
      <c r="D55" s="2074"/>
      <c r="E55" s="2074"/>
      <c r="F55" s="155" t="s">
        <v>62</v>
      </c>
      <c r="G55" s="48"/>
      <c r="H55" s="48"/>
      <c r="I55" s="48"/>
      <c r="J55" s="48"/>
      <c r="K55" s="48"/>
      <c r="L55" s="57" t="b">
        <v>0</v>
      </c>
      <c r="M55" s="57" t="b">
        <v>0</v>
      </c>
      <c r="O55" s="415">
        <v>500</v>
      </c>
      <c r="P55" s="416">
        <v>1.4999999999999999E-2</v>
      </c>
      <c r="Q55" s="37">
        <v>7.5</v>
      </c>
    </row>
    <row r="56" spans="1:17" ht="19.5" customHeight="1" thickBot="1" x14ac:dyDescent="0.3">
      <c r="A56" s="48"/>
      <c r="B56" s="48"/>
      <c r="C56" s="48"/>
      <c r="D56" s="48"/>
      <c r="E56" s="48"/>
      <c r="F56" s="48"/>
      <c r="G56" s="48"/>
      <c r="H56" s="48"/>
      <c r="I56" s="48"/>
      <c r="J56" s="48"/>
      <c r="K56" s="48"/>
      <c r="O56" s="417">
        <v>1000</v>
      </c>
      <c r="P56" s="416">
        <v>8.0000000000000002E-3</v>
      </c>
      <c r="Q56" s="37">
        <v>8</v>
      </c>
    </row>
    <row r="57" spans="1:17" ht="18" customHeight="1" thickBot="1" x14ac:dyDescent="0.3">
      <c r="A57" s="48"/>
      <c r="B57" s="2074" t="str">
        <f>IF('Project information'!$C$7="Full Certification stage","• Does the storage area allocate a storage space for paper?","• Will the storage area allocate a storage space for paper?")</f>
        <v>• Will the storage area allocate a storage space for paper?</v>
      </c>
      <c r="C57" s="2074"/>
      <c r="D57" s="2074"/>
      <c r="E57" s="2074"/>
      <c r="F57" s="155" t="s">
        <v>62</v>
      </c>
      <c r="G57" s="48"/>
      <c r="H57" s="48"/>
      <c r="I57" s="48"/>
      <c r="J57" s="48"/>
      <c r="K57" s="48"/>
      <c r="L57" s="71" t="b">
        <v>0</v>
      </c>
      <c r="M57" s="71" t="b">
        <v>0</v>
      </c>
      <c r="O57" s="417">
        <v>5000</v>
      </c>
      <c r="P57" s="416">
        <v>3.5000000000000001E-3</v>
      </c>
      <c r="Q57" s="37">
        <f>50*0.35</f>
        <v>17.5</v>
      </c>
    </row>
    <row r="58" spans="1:17" ht="18" customHeight="1" thickBot="1" x14ac:dyDescent="0.3">
      <c r="A58" s="48"/>
      <c r="B58" s="2074" t="str">
        <f>IF('Project information'!$C$7="Full Certification stage","• Does the storage area allocate a storage space for corrugated cardboard?","• Will the storage area allocate a storage space for corrugated cardboard?")</f>
        <v>• Will the storage area allocate a storage space for corrugated cardboard?</v>
      </c>
      <c r="C58" s="2074"/>
      <c r="D58" s="2074"/>
      <c r="E58" s="2074"/>
      <c r="F58" s="155" t="s">
        <v>62</v>
      </c>
      <c r="G58" s="48"/>
      <c r="H58" s="48"/>
      <c r="I58" s="48"/>
      <c r="J58" s="48"/>
      <c r="K58" s="48"/>
      <c r="L58" s="71" t="b">
        <v>0</v>
      </c>
      <c r="M58" s="71" t="b">
        <v>0</v>
      </c>
      <c r="O58" s="417">
        <v>10000</v>
      </c>
      <c r="P58" s="416">
        <v>2.5000000000000001E-3</v>
      </c>
      <c r="Q58" s="37">
        <f>100*0.25</f>
        <v>25</v>
      </c>
    </row>
    <row r="59" spans="1:17" ht="18" customHeight="1" x14ac:dyDescent="0.25">
      <c r="A59" s="48"/>
      <c r="B59" s="2074" t="str">
        <f>IF('Project information'!$C$7="Full Certification stage","• Does the storage area allocate a storage space for plastics?","• Will the storage area allocate a storage space for plastics?")</f>
        <v>• Will the storage area allocate a storage space for plastics?</v>
      </c>
      <c r="C59" s="2074"/>
      <c r="D59" s="2074"/>
      <c r="E59" s="2074"/>
      <c r="F59" s="155" t="s">
        <v>62</v>
      </c>
      <c r="G59" s="48"/>
      <c r="H59" s="48"/>
      <c r="I59" s="48"/>
      <c r="J59" s="48"/>
      <c r="K59" s="48"/>
      <c r="L59" s="71" t="b">
        <v>0</v>
      </c>
      <c r="M59" s="71" t="b">
        <v>0</v>
      </c>
      <c r="O59" s="418">
        <v>20000</v>
      </c>
      <c r="P59" s="419">
        <v>1.5E-3</v>
      </c>
      <c r="Q59" s="37">
        <f>200*0.15</f>
        <v>30</v>
      </c>
    </row>
    <row r="60" spans="1:17" ht="18" customHeight="1" x14ac:dyDescent="0.25">
      <c r="A60" s="48"/>
      <c r="B60" s="2074" t="str">
        <f>IF('Project information'!$C$7="Full Certification stage","• Does the storage area allocate a storage space for metals?","• Will the storage area allocate a storage space for metals?")</f>
        <v>• Will the storage area allocate a storage space for metals?</v>
      </c>
      <c r="C60" s="2074"/>
      <c r="D60" s="2074"/>
      <c r="E60" s="2074"/>
      <c r="F60" s="155" t="s">
        <v>62</v>
      </c>
      <c r="G60" s="48"/>
      <c r="H60" s="48"/>
      <c r="I60" s="48"/>
      <c r="J60" s="48"/>
      <c r="K60" s="48"/>
      <c r="L60" s="71" t="b">
        <v>0</v>
      </c>
      <c r="M60" s="71" t="b">
        <v>0</v>
      </c>
    </row>
    <row r="61" spans="1:17" ht="18" customHeight="1" x14ac:dyDescent="0.25">
      <c r="A61" s="48"/>
      <c r="B61" s="2074" t="str">
        <f>IF('Project information'!$C$7="Full Certification stage","• Does the storage area allocate a storage space for glass?","• Will the storage area allocate a storage space for glass?")</f>
        <v>• Will the storage area allocate a storage space for glass?</v>
      </c>
      <c r="C61" s="2074"/>
      <c r="D61" s="2074"/>
      <c r="E61" s="2074"/>
      <c r="F61" s="155" t="s">
        <v>62</v>
      </c>
      <c r="G61" s="48"/>
      <c r="H61" s="48"/>
      <c r="I61" s="48"/>
      <c r="J61" s="48"/>
      <c r="K61" s="48"/>
      <c r="L61" s="71" t="b">
        <v>0</v>
      </c>
      <c r="M61" s="71" t="b">
        <v>0</v>
      </c>
    </row>
    <row r="62" spans="1:17" ht="17.25" customHeight="1" x14ac:dyDescent="0.25">
      <c r="A62" s="48"/>
      <c r="B62" s="49"/>
      <c r="C62" s="49"/>
      <c r="D62" s="49"/>
      <c r="E62" s="49"/>
      <c r="F62" s="48"/>
      <c r="G62" s="48"/>
      <c r="H62" s="48"/>
      <c r="I62" s="48"/>
      <c r="J62" s="48"/>
      <c r="K62" s="69"/>
    </row>
    <row r="63" spans="1:17" ht="17.25" customHeight="1" x14ac:dyDescent="0.25">
      <c r="A63" s="48"/>
      <c r="B63" s="956" t="s">
        <v>804</v>
      </c>
      <c r="C63" s="511"/>
      <c r="D63" s="511"/>
      <c r="E63" s="511"/>
      <c r="F63" s="511"/>
      <c r="G63" s="511"/>
      <c r="H63" s="511"/>
      <c r="I63" s="512"/>
      <c r="J63" s="48"/>
      <c r="K63" s="48"/>
    </row>
    <row r="64" spans="1:17" ht="17.25" customHeight="1" x14ac:dyDescent="0.25">
      <c r="A64" s="48"/>
      <c r="B64" s="627" t="str">
        <f>CONCATENATE("The dedicated recycling storage area shall be sized based on the total gross floor area of the ",IF(F54="Base building","base building",IF(F54="Select","project space/base building","project space"))," in accordance with Table WP.4")</f>
        <v>The dedicated recycling storage area shall be sized based on the total gross floor area of the project space/base building in accordance with Table WP.4</v>
      </c>
      <c r="C64" s="513"/>
      <c r="D64" s="513"/>
      <c r="E64" s="513"/>
      <c r="F64" s="513"/>
      <c r="G64" s="513"/>
      <c r="H64" s="513"/>
      <c r="I64" s="514"/>
      <c r="J64" s="48"/>
      <c r="K64" s="48"/>
    </row>
    <row r="65" spans="1:14" ht="17.25" customHeight="1" x14ac:dyDescent="0.25">
      <c r="A65" s="48"/>
      <c r="B65" s="1039" t="s">
        <v>1253</v>
      </c>
      <c r="C65" s="515"/>
      <c r="D65" s="515"/>
      <c r="E65" s="515"/>
      <c r="F65" s="515"/>
      <c r="G65" s="515"/>
      <c r="H65" s="515"/>
      <c r="I65" s="516"/>
      <c r="J65" s="48"/>
      <c r="K65" s="48"/>
    </row>
    <row r="66" spans="1:14" ht="19.5" customHeight="1" x14ac:dyDescent="0.25">
      <c r="A66" s="48"/>
      <c r="B66" s="49"/>
      <c r="C66" s="49"/>
      <c r="D66" s="49"/>
      <c r="E66" s="49"/>
      <c r="F66" s="48"/>
      <c r="G66" s="2075" t="s">
        <v>802</v>
      </c>
      <c r="H66" s="2075"/>
      <c r="I66" s="2075"/>
      <c r="J66" s="2075"/>
      <c r="K66" s="2075"/>
    </row>
    <row r="67" spans="1:14" ht="17.25" customHeight="1" x14ac:dyDescent="0.25">
      <c r="A67" s="48"/>
      <c r="B67" s="2077" t="str">
        <f>IF(F54="Base building","GFA of the base building (m2)",IF(F54="Select","GFA (m2)","GFA of the project space (m2)"))</f>
        <v>GFA (m2)</v>
      </c>
      <c r="C67" s="2077"/>
      <c r="D67" s="499"/>
      <c r="E67" s="49"/>
      <c r="F67" s="48"/>
      <c r="G67" s="2075"/>
      <c r="H67" s="2075"/>
      <c r="I67" s="2075"/>
      <c r="J67" s="2075"/>
      <c r="K67" s="2075"/>
    </row>
    <row r="68" spans="1:14" ht="17.25" customHeight="1" x14ac:dyDescent="0.25">
      <c r="A68" s="48"/>
      <c r="B68" s="502" t="str">
        <f>IF(D67="","","From Table WP.4, minimum required size of the storage area is:")</f>
        <v/>
      </c>
      <c r="C68" s="502"/>
      <c r="D68" s="502"/>
      <c r="E68" s="503" t="str">
        <f>IF(D67="","",CONCATENATE(IF(D67&lt;=500,7.5,IF(D67&lt;1000,Q55+(Q56-Q55)*(D67-O55)/500,IF(D67&lt;=5000,Q56+(Q57-Q56)*(D67-O56)/(O57-O56),IF(D67&lt;=10000,Q57+(Q58-Q57)*(D67-O57)/(O58-O57),IF(D67&lt;=20000,Q58+(Q59-Q58)*(D67-O58)/(O59-O58),"")))))," m2"))</f>
        <v/>
      </c>
      <c r="F68" s="48"/>
      <c r="G68" s="48"/>
      <c r="H68" s="48"/>
      <c r="I68" s="48"/>
      <c r="J68" s="48"/>
      <c r="K68" s="48"/>
      <c r="M68" s="37" t="s">
        <v>806</v>
      </c>
      <c r="N68" s="503">
        <f>IF(D67&lt;=500,7.5,IF(D67&lt;1000,Q55+(Q56-Q55)*(D67-O55)/500,IF(D67&lt;=5000,Q56+(Q57-Q56)*(D67-O56)/(O57-O56),IF(D67&lt;=10000,Q57+(Q58-Q57)*(D67-O57)/(O58-O57),IF(D67&lt;=20000,Q58+(Q59-Q58)*(D67-O58)/(O59-O58),"")))))</f>
        <v>7.5</v>
      </c>
    </row>
    <row r="69" spans="1:14" ht="17.25" customHeight="1" x14ac:dyDescent="0.25">
      <c r="A69" s="48"/>
      <c r="B69" s="49"/>
      <c r="C69" s="49"/>
      <c r="D69" s="49"/>
      <c r="E69" s="49"/>
      <c r="F69" s="48"/>
      <c r="G69" s="48"/>
      <c r="H69" s="48"/>
      <c r="I69" s="48"/>
      <c r="J69" s="48"/>
      <c r="K69" s="48"/>
    </row>
    <row r="70" spans="1:14" ht="17.25" customHeight="1" x14ac:dyDescent="0.25">
      <c r="A70" s="48"/>
      <c r="B70" s="2077" t="s">
        <v>601</v>
      </c>
      <c r="C70" s="2077"/>
      <c r="D70" s="499"/>
      <c r="E70" s="49"/>
      <c r="F70" s="48"/>
      <c r="G70" s="48"/>
      <c r="H70" s="48"/>
      <c r="I70" s="48"/>
      <c r="J70" s="48"/>
      <c r="K70" s="48"/>
    </row>
    <row r="71" spans="1:14" ht="17.25" customHeight="1" x14ac:dyDescent="0.25">
      <c r="A71" s="48"/>
      <c r="B71" s="49"/>
      <c r="C71" s="49"/>
      <c r="D71" s="49"/>
      <c r="E71" s="49"/>
      <c r="F71" s="48"/>
      <c r="G71" s="48"/>
      <c r="H71" s="48"/>
      <c r="I71" s="48"/>
      <c r="J71" s="48"/>
      <c r="K71" s="48"/>
    </row>
    <row r="72" spans="1:14" ht="17.25" customHeight="1" x14ac:dyDescent="0.25">
      <c r="A72" s="48"/>
      <c r="B72" s="49" t="s">
        <v>805</v>
      </c>
      <c r="C72" s="49"/>
      <c r="D72" s="49"/>
      <c r="E72" s="49"/>
      <c r="F72" s="48"/>
      <c r="G72" s="48"/>
      <c r="H72" s="48"/>
      <c r="I72" s="48"/>
      <c r="J72" s="48"/>
      <c r="K72" s="48"/>
    </row>
    <row r="73" spans="1:14" ht="17.25" customHeight="1" x14ac:dyDescent="0.25">
      <c r="A73" s="48"/>
      <c r="B73" s="2076"/>
      <c r="C73" s="2076"/>
      <c r="D73" s="2076"/>
      <c r="E73" s="2076"/>
      <c r="F73" s="2076"/>
      <c r="G73" s="2076"/>
      <c r="H73" s="48"/>
      <c r="I73" s="48"/>
      <c r="J73" s="48"/>
      <c r="K73" s="69"/>
    </row>
    <row r="74" spans="1:14" ht="17.25" customHeight="1" x14ac:dyDescent="0.25">
      <c r="A74" s="48"/>
      <c r="B74" s="2076"/>
      <c r="C74" s="2076"/>
      <c r="D74" s="2076"/>
      <c r="E74" s="2076"/>
      <c r="F74" s="2076"/>
      <c r="G74" s="2076"/>
      <c r="H74" s="48"/>
      <c r="I74" s="48"/>
      <c r="J74" s="48"/>
      <c r="K74" s="69"/>
    </row>
    <row r="75" spans="1:14" ht="17.25" customHeight="1" x14ac:dyDescent="0.25">
      <c r="A75" s="48"/>
      <c r="B75" s="2076"/>
      <c r="C75" s="2076"/>
      <c r="D75" s="2076"/>
      <c r="E75" s="2076"/>
      <c r="F75" s="2076"/>
      <c r="G75" s="2076"/>
      <c r="H75" s="48"/>
      <c r="I75" s="48"/>
      <c r="J75" s="48"/>
      <c r="K75" s="69"/>
    </row>
    <row r="76" spans="1:14" ht="17.25" customHeight="1" x14ac:dyDescent="0.25">
      <c r="A76" s="48"/>
      <c r="B76" s="2076"/>
      <c r="C76" s="2076"/>
      <c r="D76" s="2076"/>
      <c r="E76" s="2076"/>
      <c r="F76" s="2076"/>
      <c r="G76" s="2076"/>
      <c r="H76" s="48"/>
      <c r="I76" s="48"/>
      <c r="J76" s="48"/>
      <c r="K76" s="69"/>
    </row>
    <row r="77" spans="1:14" ht="18" customHeight="1" x14ac:dyDescent="0.25">
      <c r="A77" s="48"/>
      <c r="B77" s="49"/>
      <c r="C77" s="49"/>
      <c r="D77" s="49"/>
      <c r="E77" s="49"/>
      <c r="F77" s="48"/>
      <c r="G77" s="48"/>
      <c r="H77" s="48"/>
      <c r="I77" s="48"/>
      <c r="J77" s="48"/>
      <c r="K77" s="69"/>
    </row>
    <row r="78" spans="1:14" customFormat="1" ht="18" customHeight="1" x14ac:dyDescent="0.25">
      <c r="A78" s="48"/>
      <c r="B78" s="2058" t="s">
        <v>602</v>
      </c>
      <c r="C78" s="2058"/>
      <c r="D78" s="157" t="str">
        <f>IF(AND(F54="base building",F55&lt;&gt;"Yes"),"No",IF(AND(OR(D70="",D70&lt;N68),B73=""),"No",IF(AND(F57="Yes",F58="Yes",F59="Yes",F60="Yes",F61="Yes"),"Yes","No")))</f>
        <v>No</v>
      </c>
      <c r="E78" s="49"/>
      <c r="F78" s="48"/>
      <c r="G78" s="48"/>
      <c r="H78" s="48"/>
      <c r="I78" s="48"/>
      <c r="J78" s="48"/>
      <c r="K78" s="69"/>
      <c r="L78" s="37"/>
      <c r="M78" s="37"/>
      <c r="N78" s="37"/>
    </row>
    <row r="79" spans="1:14" ht="19.5" customHeight="1" x14ac:dyDescent="0.25">
      <c r="A79" s="48"/>
      <c r="B79" s="49"/>
      <c r="C79" s="49"/>
      <c r="D79" s="49"/>
      <c r="E79" s="49"/>
      <c r="F79" s="48"/>
      <c r="G79" s="48"/>
      <c r="H79" s="48"/>
      <c r="I79" s="48"/>
      <c r="J79" s="48"/>
      <c r="K79" s="69"/>
    </row>
    <row r="80" spans="1:14" ht="18" customHeight="1" x14ac:dyDescent="0.25">
      <c r="A80" s="1999" t="s">
        <v>97</v>
      </c>
      <c r="B80" s="1999"/>
      <c r="C80" s="1999"/>
      <c r="D80" s="49"/>
      <c r="E80" s="49"/>
      <c r="F80" s="49"/>
      <c r="G80" s="49"/>
      <c r="H80" s="49"/>
      <c r="I80" s="49"/>
      <c r="J80" s="49"/>
      <c r="K80" s="49"/>
      <c r="L80"/>
      <c r="M80"/>
      <c r="N80"/>
    </row>
    <row r="81" spans="1:13" ht="15" x14ac:dyDescent="0.25">
      <c r="A81" s="48"/>
      <c r="B81" s="49"/>
      <c r="C81" s="49"/>
      <c r="D81" s="49"/>
      <c r="E81" s="49"/>
      <c r="F81" s="48"/>
      <c r="G81" s="48"/>
      <c r="H81" s="48"/>
      <c r="I81" s="48"/>
      <c r="J81" s="48"/>
      <c r="K81" s="69"/>
    </row>
    <row r="82" spans="1:13" ht="21" customHeight="1" x14ac:dyDescent="0.25">
      <c r="A82" s="48"/>
      <c r="B82" s="2017" t="s">
        <v>98</v>
      </c>
      <c r="C82" s="2018"/>
      <c r="D82" s="2018"/>
      <c r="E82" s="2018"/>
      <c r="F82" s="2018"/>
      <c r="G82" s="926" t="s">
        <v>1297</v>
      </c>
      <c r="H82" s="1997" t="s">
        <v>1298</v>
      </c>
      <c r="I82" s="1998"/>
      <c r="J82" s="48"/>
      <c r="K82" s="48"/>
      <c r="L82"/>
      <c r="M82"/>
    </row>
    <row r="83" spans="1:13" ht="27" customHeight="1" x14ac:dyDescent="0.25">
      <c r="A83" s="48"/>
      <c r="B83" s="1644" t="str">
        <f>Submittals!H75</f>
        <v>Select the Submission Stage in Project Information</v>
      </c>
      <c r="C83" s="1645"/>
      <c r="D83" s="1645"/>
      <c r="E83" s="1645"/>
      <c r="F83" s="1646"/>
      <c r="G83" s="919" t="s">
        <v>62</v>
      </c>
      <c r="H83" s="1625"/>
      <c r="I83" s="1626"/>
      <c r="J83" s="48"/>
      <c r="K83" s="48"/>
      <c r="L83" s="37" t="str">
        <f>IF(OR(B83="/",B83="No evidence required at this submission stage"),"Yes",IF(G83="Submitted","Yes","No"))</f>
        <v>No</v>
      </c>
      <c r="M83"/>
    </row>
    <row r="84" spans="1:13" ht="27" customHeight="1" x14ac:dyDescent="0.25">
      <c r="A84" s="48"/>
      <c r="B84" s="1644" t="str">
        <f>Submittals!H76</f>
        <v>Select the Submission Stage in Project Information</v>
      </c>
      <c r="C84" s="1645"/>
      <c r="D84" s="1645"/>
      <c r="E84" s="1645"/>
      <c r="F84" s="1646"/>
      <c r="G84" s="919" t="s">
        <v>62</v>
      </c>
      <c r="H84" s="1687"/>
      <c r="I84" s="1688"/>
      <c r="J84" s="48"/>
      <c r="K84" s="48"/>
      <c r="L84" s="37" t="str">
        <f>IF(OR(B84="/",B84="No evidence required at this submission stage"),"Yes",IF(G84="Submitted","Yes","No"))</f>
        <v>No</v>
      </c>
      <c r="M84"/>
    </row>
    <row r="85" spans="1:13" ht="19.5" customHeight="1" x14ac:dyDescent="0.25">
      <c r="A85" s="48"/>
      <c r="B85" s="49"/>
      <c r="C85" s="49"/>
      <c r="D85" s="49"/>
      <c r="E85" s="49"/>
      <c r="F85" s="48"/>
      <c r="G85" s="48"/>
      <c r="H85" s="48"/>
      <c r="I85" s="48"/>
      <c r="J85" s="48"/>
      <c r="K85" s="69"/>
    </row>
    <row r="86" spans="1:13" ht="18" customHeight="1" x14ac:dyDescent="0.25">
      <c r="A86" s="1999" t="s">
        <v>8</v>
      </c>
      <c r="B86" s="1999"/>
      <c r="C86" s="1999"/>
      <c r="D86" s="49"/>
      <c r="E86" s="49"/>
      <c r="F86" s="49"/>
      <c r="G86" s="49"/>
      <c r="H86" s="49"/>
      <c r="I86" s="49"/>
      <c r="J86" s="49"/>
      <c r="K86" s="49"/>
    </row>
    <row r="87" spans="1:13" ht="16.5" customHeight="1" x14ac:dyDescent="0.25">
      <c r="A87" s="48"/>
      <c r="B87" s="49"/>
      <c r="C87" s="49"/>
      <c r="D87" s="49"/>
      <c r="E87" s="49"/>
      <c r="F87" s="48"/>
      <c r="G87" s="48"/>
      <c r="H87" s="48"/>
      <c r="I87" s="48"/>
      <c r="J87" s="48"/>
      <c r="K87" s="48"/>
    </row>
    <row r="88" spans="1:13" ht="18" customHeight="1" x14ac:dyDescent="0.25">
      <c r="A88" s="48"/>
      <c r="B88" s="385" t="s">
        <v>19</v>
      </c>
      <c r="C88" s="8">
        <f>IF(D78="Yes",1,0)</f>
        <v>0</v>
      </c>
      <c r="D88" s="48"/>
      <c r="E88" s="48"/>
      <c r="F88" s="48"/>
      <c r="G88" s="48"/>
      <c r="H88" s="48"/>
      <c r="I88" s="48"/>
      <c r="J88" s="48"/>
      <c r="K88" s="48"/>
    </row>
    <row r="89" spans="1:13" ht="18" customHeight="1" x14ac:dyDescent="0.25">
      <c r="A89" s="48"/>
      <c r="B89" s="385" t="s">
        <v>151</v>
      </c>
      <c r="C89" s="116" t="str">
        <f>IF(AND(COUNTIF(L83:L84,"Yes")=2,C88&gt;0),"Yes","No")</f>
        <v>No</v>
      </c>
      <c r="D89" s="48"/>
      <c r="E89" s="48"/>
      <c r="F89" s="48"/>
      <c r="G89" s="48"/>
      <c r="H89" s="48"/>
      <c r="I89" s="48"/>
      <c r="J89" s="48"/>
      <c r="K89" s="48"/>
    </row>
    <row r="90" spans="1:13" ht="18.75" customHeight="1" x14ac:dyDescent="0.25">
      <c r="A90" s="48"/>
      <c r="B90" s="49"/>
      <c r="C90" s="49"/>
      <c r="D90" s="49"/>
      <c r="E90" s="49"/>
      <c r="F90" s="48"/>
      <c r="G90" s="48"/>
      <c r="H90" s="48"/>
      <c r="I90" s="48"/>
      <c r="J90" s="48"/>
      <c r="K90" s="48"/>
    </row>
    <row r="91" spans="1:13" ht="15" hidden="1" customHeight="1" x14ac:dyDescent="0.25">
      <c r="A91" s="48"/>
      <c r="B91" s="49"/>
      <c r="C91" s="49"/>
      <c r="D91" s="49"/>
      <c r="E91" s="49"/>
      <c r="F91" s="48"/>
      <c r="G91" s="48"/>
      <c r="H91" s="48"/>
      <c r="I91" s="48"/>
      <c r="J91" s="48"/>
      <c r="K91" s="48"/>
    </row>
    <row r="92" spans="1:13" ht="0" hidden="1" customHeight="1" x14ac:dyDescent="0.25"/>
  </sheetData>
  <sheetProtection algorithmName="SHA-512" hashValue="cw/qz/jWmPc9z/AiBrOrhHTV3yzMzynE4jRNP8p27F3KkvN6pCpYym4ahr4jR8YyzFtrSm0MkfUduQdRe76N8g==" saltValue="KOTZPURvD+BhNsfNJ1gyNQ==" spinCount="100000" sheet="1" objects="1" scenarios="1"/>
  <mergeCells count="53">
    <mergeCell ref="B82:F82"/>
    <mergeCell ref="B35:F35"/>
    <mergeCell ref="B14:E14"/>
    <mergeCell ref="G2:J4"/>
    <mergeCell ref="A5:K7"/>
    <mergeCell ref="B11:E11"/>
    <mergeCell ref="B12:E12"/>
    <mergeCell ref="B13:E13"/>
    <mergeCell ref="K2:K3"/>
    <mergeCell ref="B23:G23"/>
    <mergeCell ref="B25:D25"/>
    <mergeCell ref="E25:I25"/>
    <mergeCell ref="E27:I27"/>
    <mergeCell ref="E28:I28"/>
    <mergeCell ref="B37:F37"/>
    <mergeCell ref="B67:C67"/>
    <mergeCell ref="B83:F83"/>
    <mergeCell ref="B84:F84"/>
    <mergeCell ref="B54:E54"/>
    <mergeCell ref="E29:I29"/>
    <mergeCell ref="B31:C31"/>
    <mergeCell ref="G66:K67"/>
    <mergeCell ref="B55:E55"/>
    <mergeCell ref="B57:E57"/>
    <mergeCell ref="B60:E60"/>
    <mergeCell ref="B61:E61"/>
    <mergeCell ref="B78:C78"/>
    <mergeCell ref="B59:E59"/>
    <mergeCell ref="B73:G76"/>
    <mergeCell ref="B36:F36"/>
    <mergeCell ref="B58:E58"/>
    <mergeCell ref="B70:C70"/>
    <mergeCell ref="B26:D26"/>
    <mergeCell ref="E26:I26"/>
    <mergeCell ref="B27:D27"/>
    <mergeCell ref="B28:D28"/>
    <mergeCell ref="B29:D29"/>
    <mergeCell ref="A1:K1"/>
    <mergeCell ref="A80:C80"/>
    <mergeCell ref="A86:C86"/>
    <mergeCell ref="A16:K16"/>
    <mergeCell ref="A9:K9"/>
    <mergeCell ref="A44:K44"/>
    <mergeCell ref="A46:C46"/>
    <mergeCell ref="A39:C39"/>
    <mergeCell ref="A18:C18"/>
    <mergeCell ref="A33:C33"/>
    <mergeCell ref="H82:I82"/>
    <mergeCell ref="H83:I83"/>
    <mergeCell ref="H84:I84"/>
    <mergeCell ref="H35:I35"/>
    <mergeCell ref="H36:I36"/>
    <mergeCell ref="H37:I37"/>
  </mergeCells>
  <conditionalFormatting sqref="G83:I84">
    <cfRule type="expression" dxfId="367" priority="3">
      <formula>$B83="/"</formula>
    </cfRule>
    <cfRule type="expression" dxfId="366" priority="4">
      <formula>$B83="No evidence required at this submission stage"</formula>
    </cfRule>
  </conditionalFormatting>
  <conditionalFormatting sqref="G36:I37">
    <cfRule type="expression" dxfId="365" priority="1">
      <formula>$B36="/"</formula>
    </cfRule>
    <cfRule type="expression" dxfId="364" priority="2">
      <formula>$B36="No evidence required at this submission stage"</formula>
    </cfRule>
  </conditionalFormatting>
  <dataValidations count="4">
    <dataValidation type="whole" allowBlank="1" showInputMessage="1" showErrorMessage="1" sqref="G12:G13">
      <formula1>0</formula1>
      <formula2>F12</formula2>
    </dataValidation>
    <dataValidation type="list" allowBlank="1" showInputMessage="1" showErrorMessage="1" sqref="F54">
      <formula1>"Select,Interior project space, Base building"</formula1>
    </dataValidation>
    <dataValidation type="list" allowBlank="1" showInputMessage="1" showErrorMessage="1" sqref="F55 F57:F61">
      <formula1>"Select,Yes,No"</formula1>
    </dataValidation>
    <dataValidation type="list" allowBlank="1" showInputMessage="1" showErrorMessage="1" sqref="G83:G84 G36:G37">
      <formula1>"Select,Submitted,Not submitted"</formula1>
    </dataValidation>
  </dataValidations>
  <hyperlinks>
    <hyperlink ref="K4" location="'WP-1 Refrigerants'!B3" tooltip="WP-1" display="WP-1"/>
    <hyperlink ref="K2" location="'WP-2 Construction Waste'!B3" tooltip="WP-2" display="WP-2"/>
    <hyperlink ref="K2:K3" location="'WP-PR-1 &amp; WP-2 Fit-out Waste'!B3" tooltip="WP-PR-1 &amp; WP-2" display="WP-PR-1 &amp; WP-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286"/>
  <sheetViews>
    <sheetView showRowColHeaders="0" zoomScaleNormal="100" workbookViewId="0">
      <pane ySplit="1" topLeftCell="A2" activePane="bottomLeft" state="frozen"/>
      <selection activeCell="B27" sqref="B27"/>
      <selection pane="bottomLeft" activeCell="O63" sqref="O63"/>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367" t="s">
        <v>1153</v>
      </c>
      <c r="B1" s="1367"/>
      <c r="C1" s="1367"/>
      <c r="D1" s="1367"/>
      <c r="E1" s="1367"/>
      <c r="F1" s="1367"/>
      <c r="G1" s="1367"/>
      <c r="H1" s="1367"/>
      <c r="I1" s="1367"/>
      <c r="J1" s="1367"/>
      <c r="K1" s="1367"/>
      <c r="L1" s="1367"/>
      <c r="M1" s="1367"/>
      <c r="N1" s="1367"/>
      <c r="O1" s="1367"/>
      <c r="P1" s="42"/>
    </row>
    <row r="2" spans="1:16" ht="15" customHeight="1" x14ac:dyDescent="0.25">
      <c r="A2" s="14"/>
      <c r="B2" s="14"/>
      <c r="C2" s="14"/>
      <c r="D2" s="14"/>
      <c r="E2" s="14"/>
      <c r="F2" s="14"/>
      <c r="G2" s="14"/>
      <c r="H2" s="14"/>
      <c r="I2" s="14"/>
      <c r="J2" s="14"/>
      <c r="K2" s="14"/>
      <c r="L2" s="10"/>
      <c r="M2" s="10"/>
      <c r="N2" s="10"/>
      <c r="O2" s="10"/>
      <c r="P2" s="9"/>
    </row>
    <row r="3" spans="1:16" ht="18" customHeight="1" x14ac:dyDescent="0.25">
      <c r="A3" s="1368" t="s">
        <v>1154</v>
      </c>
      <c r="B3" s="1368"/>
      <c r="C3" s="1368"/>
      <c r="D3" s="1368"/>
      <c r="E3" s="14"/>
      <c r="F3" s="14"/>
      <c r="G3" s="14"/>
      <c r="H3" s="14"/>
      <c r="I3" s="14"/>
      <c r="J3" s="14"/>
      <c r="K3" s="14"/>
      <c r="L3" s="10"/>
      <c r="M3" s="10"/>
      <c r="N3" s="10"/>
      <c r="O3" s="10"/>
      <c r="P3" s="9"/>
    </row>
    <row r="4" spans="1:16" ht="15" customHeight="1" x14ac:dyDescent="0.25">
      <c r="A4" s="14"/>
      <c r="B4" s="14"/>
      <c r="C4" s="14"/>
      <c r="D4" s="14"/>
      <c r="E4" s="14"/>
      <c r="F4" s="14"/>
      <c r="G4" s="14"/>
      <c r="H4" s="14"/>
      <c r="I4" s="14"/>
      <c r="J4" s="14"/>
      <c r="K4" s="14"/>
      <c r="L4" s="10"/>
      <c r="M4" s="10"/>
      <c r="N4" s="10"/>
      <c r="O4" s="10"/>
      <c r="P4" s="9"/>
    </row>
    <row r="5" spans="1:16" ht="59.25" customHeight="1" x14ac:dyDescent="0.25">
      <c r="A5" s="14"/>
      <c r="B5" s="1369" t="s">
        <v>1155</v>
      </c>
      <c r="C5" s="1369"/>
      <c r="D5" s="1369"/>
      <c r="E5" s="1369"/>
      <c r="F5" s="1369"/>
      <c r="G5" s="1369"/>
      <c r="H5" s="1369"/>
      <c r="I5" s="1369"/>
      <c r="J5" s="1369"/>
      <c r="K5" s="1369"/>
      <c r="L5" s="1369"/>
      <c r="M5" s="1369"/>
      <c r="N5" s="1369"/>
      <c r="O5" s="10"/>
      <c r="P5" s="9"/>
    </row>
    <row r="6" spans="1:16" ht="31.5" customHeight="1" x14ac:dyDescent="0.25">
      <c r="A6" s="14"/>
      <c r="B6" s="1369" t="s">
        <v>1156</v>
      </c>
      <c r="C6" s="1369"/>
      <c r="D6" s="1369"/>
      <c r="E6" s="1369"/>
      <c r="F6" s="1369"/>
      <c r="G6" s="1369"/>
      <c r="H6" s="1369"/>
      <c r="I6" s="1369"/>
      <c r="J6" s="1369"/>
      <c r="K6" s="1369"/>
      <c r="L6" s="1369"/>
      <c r="M6" s="1369"/>
      <c r="N6" s="1369"/>
      <c r="O6" s="10"/>
      <c r="P6" s="9"/>
    </row>
    <row r="7" spans="1:16" ht="31.5" customHeight="1" x14ac:dyDescent="0.25">
      <c r="A7" s="14"/>
      <c r="B7" s="1369" t="s">
        <v>1157</v>
      </c>
      <c r="C7" s="1369"/>
      <c r="D7" s="1369"/>
      <c r="E7" s="1369"/>
      <c r="F7" s="1369"/>
      <c r="G7" s="1369"/>
      <c r="H7" s="1369"/>
      <c r="I7" s="1369"/>
      <c r="J7" s="1369"/>
      <c r="K7" s="1369"/>
      <c r="L7" s="1369"/>
      <c r="M7" s="1369"/>
      <c r="N7" s="1369"/>
      <c r="O7" s="10"/>
      <c r="P7" s="9"/>
    </row>
    <row r="8" spans="1:16" ht="31.5" customHeight="1" x14ac:dyDescent="0.25">
      <c r="A8" s="14"/>
      <c r="B8" s="1369" t="s">
        <v>1158</v>
      </c>
      <c r="C8" s="1369"/>
      <c r="D8" s="1369"/>
      <c r="E8" s="1369"/>
      <c r="F8" s="1369"/>
      <c r="G8" s="1369"/>
      <c r="H8" s="1369"/>
      <c r="I8" s="1369"/>
      <c r="J8" s="1369"/>
      <c r="K8" s="1369"/>
      <c r="L8" s="1369"/>
      <c r="M8" s="1369"/>
      <c r="N8" s="1369"/>
      <c r="O8" s="10"/>
      <c r="P8" s="9"/>
    </row>
    <row r="9" spans="1:16" ht="18" customHeight="1" x14ac:dyDescent="0.25">
      <c r="A9" s="14"/>
      <c r="B9" s="1369" t="s">
        <v>1159</v>
      </c>
      <c r="C9" s="1369"/>
      <c r="D9" s="1369"/>
      <c r="E9" s="1369"/>
      <c r="F9" s="1369"/>
      <c r="G9" s="1369"/>
      <c r="H9" s="1369"/>
      <c r="I9" s="1369"/>
      <c r="J9" s="1369"/>
      <c r="K9" s="1369"/>
      <c r="L9" s="1369"/>
      <c r="M9" s="1369"/>
      <c r="N9" s="1369"/>
      <c r="O9" s="10"/>
      <c r="P9" s="9"/>
    </row>
    <row r="10" spans="1:16" ht="15" customHeight="1" x14ac:dyDescent="0.25">
      <c r="A10" s="14"/>
      <c r="B10" s="14"/>
      <c r="C10" s="14"/>
      <c r="D10" s="14"/>
      <c r="E10" s="14"/>
      <c r="F10" s="14"/>
      <c r="G10" s="14"/>
      <c r="H10" s="14"/>
      <c r="I10" s="14"/>
      <c r="J10" s="14"/>
      <c r="K10" s="14"/>
      <c r="L10" s="10"/>
      <c r="M10" s="10"/>
      <c r="N10" s="10"/>
      <c r="O10" s="10"/>
      <c r="P10" s="9"/>
    </row>
    <row r="11" spans="1:16" ht="18" customHeight="1" x14ac:dyDescent="0.25">
      <c r="A11" s="1368" t="s">
        <v>1160</v>
      </c>
      <c r="B11" s="1368"/>
      <c r="C11" s="1368"/>
      <c r="D11" s="1368"/>
      <c r="E11" s="14"/>
      <c r="F11" s="14"/>
      <c r="G11" s="14"/>
      <c r="H11" s="14"/>
      <c r="I11" s="14"/>
      <c r="J11" s="14"/>
      <c r="K11" s="14"/>
      <c r="L11" s="10"/>
      <c r="M11" s="10"/>
      <c r="N11" s="10"/>
      <c r="O11" s="10"/>
      <c r="P11" s="9"/>
    </row>
    <row r="12" spans="1:16" x14ac:dyDescent="0.25">
      <c r="A12" s="14"/>
      <c r="B12" s="14"/>
      <c r="C12" s="14"/>
      <c r="D12" s="14"/>
      <c r="E12" s="14"/>
      <c r="F12" s="14"/>
      <c r="G12" s="14"/>
      <c r="H12" s="14"/>
      <c r="I12" s="14"/>
      <c r="J12" s="14"/>
      <c r="K12" s="14"/>
      <c r="L12" s="10"/>
      <c r="M12" s="10"/>
      <c r="N12" s="10"/>
      <c r="O12" s="10"/>
      <c r="P12" s="9"/>
    </row>
    <row r="13" spans="1:16" x14ac:dyDescent="0.25">
      <c r="A13" s="14"/>
      <c r="B13" s="952" t="s">
        <v>1161</v>
      </c>
      <c r="C13" s="14"/>
      <c r="D13" s="14"/>
      <c r="E13" s="14"/>
      <c r="F13" s="14"/>
      <c r="G13" s="14"/>
      <c r="H13" s="14"/>
      <c r="I13" s="14"/>
      <c r="J13" s="14"/>
      <c r="K13" s="14"/>
      <c r="L13" s="10"/>
      <c r="M13" s="10"/>
      <c r="N13" s="10"/>
      <c r="O13" s="10"/>
      <c r="P13" s="9"/>
    </row>
    <row r="14" spans="1:16" x14ac:dyDescent="0.25">
      <c r="A14" s="14"/>
      <c r="B14" s="732" t="s">
        <v>1183</v>
      </c>
      <c r="C14" s="14"/>
      <c r="D14" s="14"/>
      <c r="E14" s="14"/>
      <c r="F14" s="14"/>
      <c r="G14" s="14"/>
      <c r="H14" s="14"/>
      <c r="I14" s="14"/>
      <c r="J14" s="14"/>
      <c r="K14" s="14"/>
      <c r="L14" s="10"/>
      <c r="M14" s="10"/>
      <c r="N14" s="10"/>
      <c r="O14" s="10"/>
      <c r="P14" s="9"/>
    </row>
    <row r="15" spans="1:16" x14ac:dyDescent="0.25">
      <c r="A15" s="14"/>
      <c r="B15" s="14"/>
      <c r="C15" s="14"/>
      <c r="D15" s="14"/>
      <c r="E15" s="14"/>
      <c r="F15" s="14"/>
      <c r="G15" s="14"/>
      <c r="H15" s="14"/>
      <c r="I15" s="14"/>
      <c r="J15" s="14"/>
      <c r="K15" s="14"/>
      <c r="L15" s="10"/>
      <c r="M15" s="10"/>
      <c r="N15" s="10"/>
      <c r="O15" s="10"/>
      <c r="P15" s="9"/>
    </row>
    <row r="16" spans="1:16" x14ac:dyDescent="0.25">
      <c r="A16" s="14"/>
      <c r="B16" s="952" t="s">
        <v>1182</v>
      </c>
      <c r="C16" s="14"/>
      <c r="D16" s="14"/>
      <c r="E16" s="14"/>
      <c r="F16" s="14"/>
      <c r="G16" s="14"/>
      <c r="H16" s="14"/>
      <c r="I16" s="14"/>
      <c r="J16" s="14"/>
      <c r="K16" s="14"/>
      <c r="L16" s="10"/>
      <c r="M16" s="10"/>
      <c r="N16" s="10"/>
      <c r="O16" s="10"/>
      <c r="P16" s="9"/>
    </row>
    <row r="17" spans="1:16" x14ac:dyDescent="0.25">
      <c r="A17" s="14"/>
      <c r="B17" s="732" t="s">
        <v>1609</v>
      </c>
      <c r="C17" s="14"/>
      <c r="D17" s="14"/>
      <c r="E17" s="14"/>
      <c r="F17" s="14"/>
      <c r="G17" s="14"/>
      <c r="H17" s="14"/>
      <c r="I17" s="14"/>
      <c r="J17" s="14"/>
      <c r="K17" s="14"/>
      <c r="L17" s="10"/>
      <c r="M17" s="10"/>
      <c r="N17" s="10"/>
      <c r="O17" s="10"/>
      <c r="P17" s="9"/>
    </row>
    <row r="18" spans="1:16" x14ac:dyDescent="0.25">
      <c r="A18" s="14"/>
      <c r="B18" s="14"/>
      <c r="C18" s="14"/>
      <c r="D18" s="14"/>
      <c r="E18" s="14"/>
      <c r="F18" s="14"/>
      <c r="G18" s="14"/>
      <c r="H18" s="14"/>
      <c r="I18" s="14"/>
      <c r="J18" s="14"/>
      <c r="K18" s="14"/>
      <c r="L18" s="10"/>
      <c r="M18" s="10"/>
      <c r="N18" s="10"/>
      <c r="O18" s="10"/>
      <c r="P18" s="9"/>
    </row>
    <row r="19" spans="1:16" x14ac:dyDescent="0.25">
      <c r="A19" s="14"/>
      <c r="B19" s="952" t="s">
        <v>1162</v>
      </c>
      <c r="C19" s="14"/>
      <c r="D19" s="14"/>
      <c r="E19" s="14"/>
      <c r="F19" s="14"/>
      <c r="G19" s="14"/>
      <c r="H19" s="14"/>
      <c r="I19" s="14"/>
      <c r="J19" s="14"/>
      <c r="K19" s="14"/>
      <c r="L19" s="10"/>
      <c r="M19" s="10"/>
      <c r="N19" s="10"/>
      <c r="O19" s="10"/>
      <c r="P19" s="9"/>
    </row>
    <row r="20" spans="1:16" ht="31.5" customHeight="1" x14ac:dyDescent="0.25">
      <c r="A20" s="14"/>
      <c r="B20" s="1369" t="s">
        <v>1610</v>
      </c>
      <c r="C20" s="1369"/>
      <c r="D20" s="1369"/>
      <c r="E20" s="1369"/>
      <c r="F20" s="1369"/>
      <c r="G20" s="1369"/>
      <c r="H20" s="1369"/>
      <c r="I20" s="1369"/>
      <c r="J20" s="1369"/>
      <c r="K20" s="1369"/>
      <c r="L20" s="1369"/>
      <c r="M20" s="1369"/>
      <c r="N20" s="1369"/>
      <c r="O20" s="10"/>
      <c r="P20" s="9"/>
    </row>
    <row r="21" spans="1:16" x14ac:dyDescent="0.25">
      <c r="A21" s="14"/>
      <c r="B21" s="14"/>
      <c r="C21" s="14"/>
      <c r="D21" s="14"/>
      <c r="E21" s="14"/>
      <c r="F21" s="14"/>
      <c r="G21" s="14"/>
      <c r="H21" s="14"/>
      <c r="I21" s="14"/>
      <c r="J21" s="14"/>
      <c r="K21" s="14"/>
      <c r="L21" s="10"/>
      <c r="M21" s="10"/>
      <c r="N21" s="10"/>
      <c r="O21" s="10"/>
      <c r="P21" s="9"/>
    </row>
    <row r="22" spans="1:16" x14ac:dyDescent="0.25">
      <c r="A22" s="14"/>
      <c r="B22" s="1369" t="s">
        <v>1163</v>
      </c>
      <c r="C22" s="1369"/>
      <c r="D22" s="1369"/>
      <c r="E22" s="1369"/>
      <c r="F22" s="1369"/>
      <c r="G22" s="1369"/>
      <c r="H22" s="1369"/>
      <c r="I22" s="1369"/>
      <c r="J22" s="1369"/>
      <c r="K22" s="1369"/>
      <c r="L22" s="1369"/>
      <c r="M22" s="1369"/>
      <c r="N22" s="1369"/>
      <c r="O22" s="10"/>
      <c r="P22" s="9"/>
    </row>
    <row r="23" spans="1:16" x14ac:dyDescent="0.25">
      <c r="A23" s="14"/>
      <c r="B23" s="14"/>
      <c r="C23" s="14"/>
      <c r="D23" s="14"/>
      <c r="E23" s="14"/>
      <c r="F23" s="14"/>
      <c r="G23" s="14"/>
      <c r="H23" s="14"/>
      <c r="I23" s="14"/>
      <c r="J23" s="14"/>
      <c r="K23" s="14"/>
      <c r="L23" s="10"/>
      <c r="M23" s="10"/>
      <c r="N23" s="10"/>
      <c r="O23" s="10"/>
      <c r="P23" s="9"/>
    </row>
    <row r="24" spans="1:16" ht="18" customHeight="1" x14ac:dyDescent="0.25">
      <c r="A24" s="1368" t="s">
        <v>1164</v>
      </c>
      <c r="B24" s="1368"/>
      <c r="C24" s="1368"/>
      <c r="D24" s="1368"/>
      <c r="E24" s="14"/>
      <c r="F24" s="14"/>
      <c r="G24" s="14"/>
      <c r="H24" s="14"/>
      <c r="I24" s="14"/>
      <c r="J24" s="14"/>
      <c r="K24" s="14"/>
      <c r="L24" s="10"/>
      <c r="M24" s="10"/>
      <c r="N24" s="10"/>
      <c r="O24" s="10"/>
      <c r="P24" s="9"/>
    </row>
    <row r="25" spans="1:16" ht="15" customHeight="1" x14ac:dyDescent="0.25">
      <c r="A25" s="14"/>
      <c r="B25" s="14"/>
      <c r="C25" s="14"/>
      <c r="D25" s="14"/>
      <c r="E25" s="14"/>
      <c r="F25" s="14"/>
      <c r="G25" s="14"/>
      <c r="H25" s="14"/>
      <c r="I25" s="14"/>
      <c r="J25" s="14"/>
      <c r="K25" s="14"/>
      <c r="L25" s="10"/>
      <c r="M25" s="10"/>
      <c r="N25" s="10"/>
      <c r="O25" s="10"/>
      <c r="P25" s="9"/>
    </row>
    <row r="26" spans="1:16" x14ac:dyDescent="0.25">
      <c r="A26" s="14"/>
      <c r="B26" s="1369" t="s">
        <v>2793</v>
      </c>
      <c r="C26" s="1369"/>
      <c r="D26" s="1369"/>
      <c r="E26" s="1369"/>
      <c r="F26" s="1369"/>
      <c r="G26" s="1369"/>
      <c r="H26" s="1369"/>
      <c r="I26" s="1369"/>
      <c r="J26" s="1369"/>
      <c r="K26" s="1369"/>
      <c r="L26" s="1369"/>
      <c r="M26" s="1369"/>
      <c r="N26" s="1369"/>
      <c r="O26" s="10"/>
      <c r="P26" s="9"/>
    </row>
    <row r="27" spans="1:16" x14ac:dyDescent="0.25">
      <c r="A27" s="14"/>
      <c r="B27" s="14"/>
      <c r="C27" s="14"/>
      <c r="D27" s="14"/>
      <c r="E27" s="14"/>
      <c r="F27" s="14"/>
      <c r="G27" s="14"/>
      <c r="H27" s="14"/>
      <c r="I27" s="14"/>
      <c r="J27" s="14"/>
      <c r="K27" s="14"/>
      <c r="L27" s="10"/>
      <c r="M27" s="10"/>
      <c r="N27" s="10"/>
      <c r="O27" s="10"/>
      <c r="P27" s="9"/>
    </row>
    <row r="28" spans="1:16" ht="15.75" x14ac:dyDescent="0.25">
      <c r="A28" s="14"/>
      <c r="B28" s="1181" t="s">
        <v>2236</v>
      </c>
      <c r="C28" s="14"/>
      <c r="D28" s="14"/>
      <c r="E28" s="14"/>
      <c r="F28" s="14"/>
      <c r="G28" s="14"/>
      <c r="H28" s="14"/>
      <c r="I28" s="14"/>
      <c r="J28" s="14"/>
      <c r="K28" s="14"/>
      <c r="L28" s="10"/>
      <c r="M28" s="10"/>
      <c r="N28" s="10"/>
      <c r="O28" s="10"/>
      <c r="P28" s="9"/>
    </row>
    <row r="29" spans="1:16" ht="12" customHeight="1" x14ac:dyDescent="0.25">
      <c r="A29" s="14"/>
      <c r="B29" s="1182"/>
      <c r="C29" s="1183"/>
      <c r="D29" s="1183"/>
      <c r="E29" s="1183"/>
      <c r="F29" s="1183"/>
      <c r="G29" s="1183"/>
      <c r="H29" s="1183"/>
      <c r="I29" s="1183"/>
      <c r="J29" s="1183"/>
      <c r="K29" s="1184"/>
      <c r="L29" s="10"/>
      <c r="M29" s="10"/>
      <c r="N29" s="10"/>
      <c r="O29" s="10"/>
      <c r="P29" s="9"/>
    </row>
    <row r="30" spans="1:16" x14ac:dyDescent="0.25">
      <c r="A30" s="14"/>
      <c r="B30" s="1185"/>
      <c r="C30" s="14"/>
      <c r="E30" s="14"/>
      <c r="F30" s="14"/>
      <c r="G30" s="14"/>
      <c r="H30" s="14"/>
      <c r="I30" s="14"/>
      <c r="J30" s="10"/>
      <c r="K30" s="1186"/>
      <c r="L30" s="10"/>
      <c r="M30" s="10"/>
      <c r="N30" s="10"/>
      <c r="O30" s="10"/>
      <c r="P30" s="9"/>
    </row>
    <row r="31" spans="1:16" x14ac:dyDescent="0.25">
      <c r="A31" s="14"/>
      <c r="B31" s="1185"/>
      <c r="C31" s="14"/>
      <c r="D31" s="14"/>
      <c r="E31" s="14"/>
      <c r="F31" s="14"/>
      <c r="G31" s="14"/>
      <c r="I31" s="14"/>
      <c r="J31" s="10"/>
      <c r="K31" s="1186"/>
      <c r="L31" s="10"/>
      <c r="M31" s="10"/>
      <c r="N31" s="10"/>
      <c r="O31" s="10"/>
      <c r="P31" s="9"/>
    </row>
    <row r="32" spans="1:16" x14ac:dyDescent="0.25">
      <c r="A32" s="14"/>
      <c r="B32" s="1185"/>
      <c r="C32" s="14"/>
      <c r="D32" s="14"/>
      <c r="E32" s="14"/>
      <c r="F32" s="14"/>
      <c r="H32" s="14"/>
      <c r="I32" s="14"/>
      <c r="J32" s="10"/>
      <c r="K32" s="1186"/>
      <c r="L32" s="10"/>
      <c r="M32" s="10"/>
      <c r="N32" s="10"/>
      <c r="O32" s="10"/>
      <c r="P32" s="9"/>
    </row>
    <row r="33" spans="1:16" x14ac:dyDescent="0.25">
      <c r="A33" s="14"/>
      <c r="B33" s="1185"/>
      <c r="C33" s="14"/>
      <c r="D33" s="14"/>
      <c r="E33" s="14"/>
      <c r="F33" s="14"/>
      <c r="G33" s="14"/>
      <c r="H33" s="14"/>
      <c r="I33" s="14"/>
      <c r="K33" s="1186"/>
      <c r="L33" s="10"/>
      <c r="M33" s="10"/>
      <c r="N33" s="10"/>
      <c r="O33" s="10"/>
      <c r="P33" s="9"/>
    </row>
    <row r="34" spans="1:16" x14ac:dyDescent="0.25">
      <c r="A34" s="14"/>
      <c r="B34" s="1185"/>
      <c r="C34" s="14"/>
      <c r="D34" s="14"/>
      <c r="E34" s="14"/>
      <c r="F34" s="14"/>
      <c r="G34" s="14"/>
      <c r="H34" s="14"/>
      <c r="I34" s="14"/>
      <c r="J34" s="10"/>
      <c r="K34" s="1186"/>
      <c r="L34" s="10"/>
      <c r="M34" s="10"/>
      <c r="N34" s="10"/>
      <c r="O34" s="10"/>
      <c r="P34" s="9"/>
    </row>
    <row r="35" spans="1:16" x14ac:dyDescent="0.25">
      <c r="A35" s="14"/>
      <c r="B35" s="1185"/>
      <c r="C35" s="14"/>
      <c r="D35" s="14"/>
      <c r="E35" s="14"/>
      <c r="F35" s="14"/>
      <c r="G35" s="14"/>
      <c r="H35" s="14"/>
      <c r="I35" s="14"/>
      <c r="J35" s="10"/>
      <c r="K35" s="1186"/>
      <c r="L35" s="10"/>
      <c r="M35" s="10"/>
      <c r="N35" s="10"/>
      <c r="O35" s="10"/>
      <c r="P35" s="9"/>
    </row>
    <row r="36" spans="1:16" x14ac:dyDescent="0.25">
      <c r="A36" s="14"/>
      <c r="B36" s="1185"/>
      <c r="C36" s="14"/>
      <c r="D36" s="14"/>
      <c r="E36" s="14"/>
      <c r="F36" s="14"/>
      <c r="G36" s="14"/>
      <c r="H36" s="14"/>
      <c r="I36" s="14"/>
      <c r="J36" s="10"/>
      <c r="K36" s="1186"/>
      <c r="L36" s="10"/>
      <c r="M36" s="10"/>
      <c r="N36" s="10"/>
      <c r="O36" s="10"/>
      <c r="P36" s="9"/>
    </row>
    <row r="37" spans="1:16" x14ac:dyDescent="0.25">
      <c r="A37" s="14"/>
      <c r="B37" s="1185"/>
      <c r="C37" s="14"/>
      <c r="D37" s="14"/>
      <c r="E37" s="14"/>
      <c r="F37" s="14"/>
      <c r="G37" s="14"/>
      <c r="H37" s="14"/>
      <c r="I37" s="14"/>
      <c r="J37" s="10"/>
      <c r="K37" s="1186"/>
      <c r="L37" s="10"/>
      <c r="M37" s="10"/>
      <c r="N37" s="10"/>
      <c r="O37" s="10"/>
      <c r="P37" s="9"/>
    </row>
    <row r="38" spans="1:16" x14ac:dyDescent="0.25">
      <c r="A38" s="14"/>
      <c r="B38" s="1185"/>
      <c r="C38" s="14"/>
      <c r="D38" s="14"/>
      <c r="E38" s="14"/>
      <c r="F38" s="14"/>
      <c r="G38" s="14"/>
      <c r="H38" s="14"/>
      <c r="I38" s="14"/>
      <c r="J38" s="10"/>
      <c r="K38" s="1186"/>
      <c r="L38" s="10"/>
      <c r="M38" s="10"/>
      <c r="N38" s="10"/>
      <c r="O38" s="10"/>
      <c r="P38" s="9"/>
    </row>
    <row r="39" spans="1:16" x14ac:dyDescent="0.25">
      <c r="A39" s="14"/>
      <c r="B39" s="1185"/>
      <c r="C39" s="14"/>
      <c r="D39" s="14"/>
      <c r="E39" s="14"/>
      <c r="F39" s="14"/>
      <c r="G39" s="14"/>
      <c r="H39" s="14"/>
      <c r="I39" s="14"/>
      <c r="J39" s="10"/>
      <c r="K39" s="1186"/>
      <c r="L39" s="10"/>
      <c r="M39" s="10"/>
      <c r="N39" s="10"/>
      <c r="O39" s="10"/>
      <c r="P39" s="9"/>
    </row>
    <row r="40" spans="1:16" x14ac:dyDescent="0.25">
      <c r="A40" s="14"/>
      <c r="B40" s="1185"/>
      <c r="C40" s="14"/>
      <c r="D40" s="14"/>
      <c r="E40" s="14"/>
      <c r="F40" s="14"/>
      <c r="G40" s="14"/>
      <c r="H40" s="14"/>
      <c r="I40" s="14"/>
      <c r="J40" s="10"/>
      <c r="K40" s="1186"/>
      <c r="L40" s="10"/>
      <c r="M40" s="10"/>
      <c r="N40" s="10"/>
      <c r="O40" s="10"/>
      <c r="P40" s="9"/>
    </row>
    <row r="41" spans="1:16" x14ac:dyDescent="0.25">
      <c r="A41" s="14"/>
      <c r="B41" s="1185"/>
      <c r="C41" s="14"/>
      <c r="D41" s="14"/>
      <c r="E41" s="14"/>
      <c r="F41" s="14"/>
      <c r="G41" s="14"/>
      <c r="H41" s="14"/>
      <c r="I41" s="14"/>
      <c r="J41" s="10"/>
      <c r="K41" s="1186"/>
      <c r="L41" s="10"/>
      <c r="M41" s="10"/>
      <c r="N41" s="10"/>
      <c r="O41" s="10"/>
      <c r="P41" s="9"/>
    </row>
    <row r="42" spans="1:16" x14ac:dyDescent="0.25">
      <c r="A42" s="14"/>
      <c r="B42" s="1185"/>
      <c r="C42" s="14"/>
      <c r="D42" s="14"/>
      <c r="E42" s="14"/>
      <c r="F42" s="14"/>
      <c r="G42" s="14"/>
      <c r="H42" s="14"/>
      <c r="I42" s="14"/>
      <c r="J42" s="10"/>
      <c r="K42" s="1186"/>
      <c r="L42" s="10"/>
      <c r="M42" s="10"/>
      <c r="N42" s="10"/>
      <c r="O42" s="10"/>
      <c r="P42" s="9"/>
    </row>
    <row r="43" spans="1:16" x14ac:dyDescent="0.25">
      <c r="A43" s="14"/>
      <c r="B43" s="1185"/>
      <c r="C43" s="14"/>
      <c r="D43" s="14"/>
      <c r="E43" s="14"/>
      <c r="F43" s="14"/>
      <c r="G43" s="14"/>
      <c r="H43" s="14"/>
      <c r="I43" s="14"/>
      <c r="J43" s="10"/>
      <c r="K43" s="1186"/>
      <c r="L43" s="10"/>
      <c r="M43" s="10"/>
      <c r="N43" s="10"/>
      <c r="O43" s="10"/>
      <c r="P43" s="9"/>
    </row>
    <row r="44" spans="1:16" ht="10.5" customHeight="1" x14ac:dyDescent="0.25">
      <c r="A44" s="14"/>
      <c r="B44" s="1187"/>
      <c r="C44" s="1188"/>
      <c r="D44" s="1188"/>
      <c r="E44" s="1188"/>
      <c r="F44" s="1188"/>
      <c r="G44" s="1188"/>
      <c r="H44" s="1188"/>
      <c r="I44" s="1188"/>
      <c r="J44" s="1188"/>
      <c r="K44" s="1189"/>
      <c r="L44" s="10"/>
      <c r="M44" s="10"/>
      <c r="N44" s="10"/>
      <c r="O44" s="10"/>
      <c r="P44" s="9"/>
    </row>
    <row r="45" spans="1:16" ht="10.5" customHeight="1" x14ac:dyDescent="0.25">
      <c r="A45" s="14"/>
      <c r="B45" s="15"/>
      <c r="C45" s="1190"/>
      <c r="D45" s="1190"/>
      <c r="E45" s="1190"/>
      <c r="F45" s="1190"/>
      <c r="G45" s="1190"/>
      <c r="H45" s="1190"/>
      <c r="I45" s="1190"/>
      <c r="J45" s="1190"/>
      <c r="K45" s="1190"/>
      <c r="L45" s="1190"/>
      <c r="M45" s="10"/>
      <c r="N45" s="10"/>
      <c r="O45" s="10"/>
      <c r="P45" s="9"/>
    </row>
    <row r="46" spans="1:16" ht="15.75" x14ac:dyDescent="0.25">
      <c r="A46" s="14"/>
      <c r="B46" s="1191" t="s">
        <v>2237</v>
      </c>
      <c r="C46" s="14"/>
      <c r="D46" s="14"/>
      <c r="E46" s="14"/>
      <c r="F46" s="14"/>
      <c r="G46" s="14"/>
      <c r="H46" s="14"/>
      <c r="I46" s="14"/>
      <c r="J46" s="14"/>
      <c r="K46" s="14"/>
      <c r="L46" s="10"/>
      <c r="M46" s="10"/>
      <c r="N46" s="10"/>
      <c r="O46" s="10"/>
      <c r="P46" s="9"/>
    </row>
    <row r="47" spans="1:16" ht="12" customHeight="1" x14ac:dyDescent="0.25">
      <c r="A47" s="15"/>
      <c r="B47" s="1192"/>
      <c r="C47" s="1193"/>
      <c r="D47" s="1193"/>
      <c r="E47" s="1193"/>
      <c r="F47" s="1193"/>
      <c r="G47" s="1193"/>
      <c r="H47" s="1193"/>
      <c r="I47" s="1193"/>
      <c r="J47" s="1193"/>
      <c r="K47" s="1193"/>
      <c r="L47" s="1193"/>
      <c r="M47" s="1193"/>
      <c r="N47" s="1194"/>
      <c r="O47" s="10"/>
      <c r="P47" s="9"/>
    </row>
    <row r="48" spans="1:16" x14ac:dyDescent="0.25">
      <c r="A48" s="15"/>
      <c r="B48" s="1195"/>
      <c r="C48" s="15"/>
      <c r="D48" s="15"/>
      <c r="E48" s="15"/>
      <c r="F48" s="14"/>
      <c r="G48" s="14"/>
      <c r="H48" s="14"/>
      <c r="I48" s="14"/>
      <c r="J48" s="14"/>
      <c r="K48" s="14"/>
      <c r="L48" s="14"/>
      <c r="M48" s="14"/>
      <c r="N48" s="1196"/>
      <c r="O48" s="10"/>
      <c r="P48" s="9"/>
    </row>
    <row r="49" spans="1:16" x14ac:dyDescent="0.25">
      <c r="A49" s="15"/>
      <c r="B49" s="1195"/>
      <c r="C49" s="15"/>
      <c r="D49" s="15"/>
      <c r="E49" s="15"/>
      <c r="F49" s="14"/>
      <c r="G49" s="14"/>
      <c r="H49" s="14"/>
      <c r="I49" s="14"/>
      <c r="J49" s="14"/>
      <c r="K49" s="14"/>
      <c r="L49" s="14"/>
      <c r="M49" s="14"/>
      <c r="N49" s="1196"/>
      <c r="O49" s="10"/>
      <c r="P49" s="9"/>
    </row>
    <row r="50" spans="1:16" x14ac:dyDescent="0.25">
      <c r="A50" s="15"/>
      <c r="B50" s="1195"/>
      <c r="C50" s="15"/>
      <c r="D50" s="15"/>
      <c r="E50" s="15"/>
      <c r="F50" s="14"/>
      <c r="G50" s="14"/>
      <c r="H50" s="14"/>
      <c r="I50" s="14"/>
      <c r="J50" s="14"/>
      <c r="K50" s="14"/>
      <c r="L50" s="14"/>
      <c r="M50" s="14"/>
      <c r="N50" s="1196"/>
      <c r="O50" s="10"/>
      <c r="P50" s="9"/>
    </row>
    <row r="51" spans="1:16" x14ac:dyDescent="0.25">
      <c r="A51" s="15"/>
      <c r="B51" s="1195"/>
      <c r="C51" s="15"/>
      <c r="D51" s="15"/>
      <c r="E51" s="15"/>
      <c r="F51" s="14"/>
      <c r="G51" s="14"/>
      <c r="H51" s="14"/>
      <c r="I51" s="14"/>
      <c r="J51" s="14"/>
      <c r="K51" s="14"/>
      <c r="L51" s="14"/>
      <c r="M51" s="14"/>
      <c r="N51" s="1196"/>
      <c r="O51" s="10"/>
      <c r="P51" s="9"/>
    </row>
    <row r="52" spans="1:16" x14ac:dyDescent="0.25">
      <c r="A52" s="15"/>
      <c r="B52" s="1195"/>
      <c r="C52" s="15"/>
      <c r="D52" s="15"/>
      <c r="E52" s="15"/>
      <c r="F52" s="14"/>
      <c r="G52" s="14"/>
      <c r="H52" s="14"/>
      <c r="I52" s="14"/>
      <c r="J52" s="14"/>
      <c r="K52" s="14"/>
      <c r="L52" s="14"/>
      <c r="M52" s="14"/>
      <c r="N52" s="1196"/>
      <c r="O52" s="10"/>
      <c r="P52" s="9"/>
    </row>
    <row r="53" spans="1:16" x14ac:dyDescent="0.25">
      <c r="A53" s="15"/>
      <c r="B53" s="1195"/>
      <c r="C53" s="15"/>
      <c r="D53" s="15"/>
      <c r="E53" s="15"/>
      <c r="F53" s="14"/>
      <c r="G53" s="14"/>
      <c r="H53" s="14"/>
      <c r="I53" s="14"/>
      <c r="J53" s="14"/>
      <c r="K53" s="14"/>
      <c r="L53" s="14"/>
      <c r="M53" s="14"/>
      <c r="N53" s="1196"/>
      <c r="O53" s="10"/>
      <c r="P53" s="9"/>
    </row>
    <row r="54" spans="1:16" x14ac:dyDescent="0.25">
      <c r="A54" s="15"/>
      <c r="B54" s="1195"/>
      <c r="C54" s="15"/>
      <c r="D54" s="15"/>
      <c r="E54" s="15"/>
      <c r="F54" s="14"/>
      <c r="G54" s="14"/>
      <c r="H54" s="14"/>
      <c r="I54" s="14"/>
      <c r="J54" s="14"/>
      <c r="K54" s="14"/>
      <c r="L54" s="14"/>
      <c r="M54" s="14"/>
      <c r="N54" s="1196"/>
      <c r="O54" s="10"/>
      <c r="P54" s="9"/>
    </row>
    <row r="55" spans="1:16" x14ac:dyDescent="0.25">
      <c r="A55" s="15"/>
      <c r="B55" s="1195"/>
      <c r="C55" s="15"/>
      <c r="D55" s="15"/>
      <c r="E55" s="15"/>
      <c r="F55" s="14"/>
      <c r="G55" s="14"/>
      <c r="H55" s="14"/>
      <c r="I55" s="14"/>
      <c r="J55" s="14"/>
      <c r="K55" s="14"/>
      <c r="L55" s="14"/>
      <c r="M55" s="14"/>
      <c r="N55" s="1196"/>
      <c r="O55" s="10"/>
      <c r="P55" s="9"/>
    </row>
    <row r="56" spans="1:16" x14ac:dyDescent="0.25">
      <c r="A56" s="15"/>
      <c r="B56" s="1195"/>
      <c r="C56" s="15"/>
      <c r="D56" s="15"/>
      <c r="E56" s="15"/>
      <c r="F56" s="14"/>
      <c r="G56" s="14"/>
      <c r="H56" s="14"/>
      <c r="I56" s="14"/>
      <c r="J56" s="14"/>
      <c r="K56" s="14"/>
      <c r="L56" s="14"/>
      <c r="M56" s="14"/>
      <c r="N56" s="1196"/>
      <c r="O56" s="10"/>
      <c r="P56" s="9"/>
    </row>
    <row r="57" spans="1:16" x14ac:dyDescent="0.25">
      <c r="A57" s="15"/>
      <c r="B57" s="1195"/>
      <c r="C57" s="15"/>
      <c r="D57" s="15"/>
      <c r="E57" s="15"/>
      <c r="F57" s="14"/>
      <c r="G57" s="14"/>
      <c r="H57" s="14"/>
      <c r="I57" s="14"/>
      <c r="J57" s="14"/>
      <c r="K57" s="14"/>
      <c r="L57" s="14"/>
      <c r="M57" s="14"/>
      <c r="N57" s="1196"/>
      <c r="O57" s="10"/>
      <c r="P57" s="9"/>
    </row>
    <row r="58" spans="1:16" x14ac:dyDescent="0.25">
      <c r="A58" s="15"/>
      <c r="B58" s="1195"/>
      <c r="C58" s="15"/>
      <c r="D58" s="15"/>
      <c r="E58" s="15"/>
      <c r="F58" s="14"/>
      <c r="G58" s="14"/>
      <c r="H58" s="14"/>
      <c r="I58" s="14"/>
      <c r="J58" s="14"/>
      <c r="K58" s="14"/>
      <c r="L58" s="14"/>
      <c r="M58" s="14"/>
      <c r="N58" s="1196"/>
      <c r="O58" s="10"/>
      <c r="P58" s="9"/>
    </row>
    <row r="59" spans="1:16" x14ac:dyDescent="0.25">
      <c r="A59" s="15"/>
      <c r="B59" s="1195"/>
      <c r="C59" s="15"/>
      <c r="D59" s="15"/>
      <c r="E59" s="15"/>
      <c r="F59" s="14"/>
      <c r="G59" s="14"/>
      <c r="H59" s="14"/>
      <c r="I59" s="14"/>
      <c r="J59" s="14"/>
      <c r="K59" s="14"/>
      <c r="L59" s="14"/>
      <c r="M59" s="14"/>
      <c r="N59" s="1196"/>
      <c r="O59" s="10"/>
      <c r="P59" s="9"/>
    </row>
    <row r="60" spans="1:16" x14ac:dyDescent="0.25">
      <c r="A60" s="15"/>
      <c r="B60" s="1195"/>
      <c r="C60" s="15"/>
      <c r="D60" s="15"/>
      <c r="E60" s="15"/>
      <c r="F60" s="14"/>
      <c r="G60" s="14"/>
      <c r="H60" s="14"/>
      <c r="I60" s="14"/>
      <c r="J60" s="14"/>
      <c r="K60" s="14"/>
      <c r="L60" s="14"/>
      <c r="M60" s="14"/>
      <c r="N60" s="1196"/>
      <c r="O60" s="10"/>
      <c r="P60" s="9"/>
    </row>
    <row r="61" spans="1:16" x14ac:dyDescent="0.25">
      <c r="A61" s="15"/>
      <c r="B61" s="1195"/>
      <c r="C61" s="15"/>
      <c r="D61" s="15"/>
      <c r="E61" s="15"/>
      <c r="F61" s="14"/>
      <c r="G61" s="14"/>
      <c r="H61" s="14"/>
      <c r="I61" s="14"/>
      <c r="J61" s="14"/>
      <c r="K61" s="14"/>
      <c r="L61" s="14"/>
      <c r="M61" s="14"/>
      <c r="N61" s="1196"/>
      <c r="O61" s="10"/>
      <c r="P61" s="9"/>
    </row>
    <row r="62" spans="1:16" x14ac:dyDescent="0.25">
      <c r="A62" s="15"/>
      <c r="B62" s="1195"/>
      <c r="C62" s="15"/>
      <c r="D62" s="15"/>
      <c r="E62" s="15"/>
      <c r="F62" s="14"/>
      <c r="G62" s="14"/>
      <c r="H62" s="14"/>
      <c r="I62" s="14"/>
      <c r="J62" s="14"/>
      <c r="K62" s="14"/>
      <c r="L62" s="14"/>
      <c r="M62" s="14"/>
      <c r="N62" s="1196"/>
      <c r="O62" s="10"/>
      <c r="P62" s="9"/>
    </row>
    <row r="63" spans="1:16" x14ac:dyDescent="0.25">
      <c r="A63" s="15"/>
      <c r="B63" s="1195"/>
      <c r="C63" s="15"/>
      <c r="D63" s="15"/>
      <c r="E63" s="15"/>
      <c r="F63" s="14"/>
      <c r="G63" s="14"/>
      <c r="H63" s="14"/>
      <c r="I63" s="14"/>
      <c r="J63" s="14"/>
      <c r="K63" s="14"/>
      <c r="L63" s="14"/>
      <c r="M63" s="14"/>
      <c r="N63" s="1196"/>
      <c r="O63" s="10"/>
      <c r="P63" s="9"/>
    </row>
    <row r="64" spans="1:16" x14ac:dyDescent="0.25">
      <c r="A64" s="15"/>
      <c r="B64" s="1195"/>
      <c r="C64" s="15"/>
      <c r="D64" s="15"/>
      <c r="E64" s="15"/>
      <c r="F64" s="14"/>
      <c r="G64" s="14"/>
      <c r="H64" s="14"/>
      <c r="I64" s="14"/>
      <c r="J64" s="14"/>
      <c r="K64" s="14"/>
      <c r="L64" s="14"/>
      <c r="M64" s="14"/>
      <c r="N64" s="1196"/>
      <c r="O64" s="10"/>
      <c r="P64" s="9"/>
    </row>
    <row r="65" spans="1:16" ht="16.5" customHeight="1" x14ac:dyDescent="0.25">
      <c r="A65" s="15"/>
      <c r="B65" s="1195"/>
      <c r="C65" s="15"/>
      <c r="D65" s="15"/>
      <c r="E65" s="15"/>
      <c r="F65" s="14"/>
      <c r="G65" s="14"/>
      <c r="H65" s="14"/>
      <c r="I65" s="14"/>
      <c r="J65" s="14"/>
      <c r="K65" s="14"/>
      <c r="L65" s="14"/>
      <c r="M65" s="14"/>
      <c r="N65" s="1196"/>
      <c r="O65" s="10"/>
      <c r="P65" s="9"/>
    </row>
    <row r="66" spans="1:16" ht="16.5" customHeight="1" x14ac:dyDescent="0.25">
      <c r="A66" s="15"/>
      <c r="B66" s="1195"/>
      <c r="C66" s="15"/>
      <c r="D66" s="15"/>
      <c r="E66" s="15"/>
      <c r="F66" s="14"/>
      <c r="G66" s="14"/>
      <c r="H66" s="14"/>
      <c r="J66" s="14"/>
      <c r="K66" s="14"/>
      <c r="L66" s="14"/>
      <c r="M66" s="14"/>
      <c r="N66" s="1196"/>
      <c r="O66" s="10"/>
      <c r="P66" s="9"/>
    </row>
    <row r="67" spans="1:16" ht="16.5" customHeight="1" x14ac:dyDescent="0.25">
      <c r="A67" s="15"/>
      <c r="B67" s="1195"/>
      <c r="C67" s="15"/>
      <c r="D67" s="15"/>
      <c r="E67" s="15"/>
      <c r="F67" s="14"/>
      <c r="G67" s="14"/>
      <c r="H67" s="14"/>
      <c r="I67" s="14"/>
      <c r="J67" s="14"/>
      <c r="K67" s="14"/>
      <c r="L67" s="14"/>
      <c r="M67" s="14"/>
      <c r="N67" s="1196"/>
      <c r="O67" s="10"/>
      <c r="P67" s="9"/>
    </row>
    <row r="68" spans="1:16" ht="16.5" customHeight="1" x14ac:dyDescent="0.25">
      <c r="A68" s="15"/>
      <c r="B68" s="1195"/>
      <c r="C68" s="15"/>
      <c r="D68" s="15"/>
      <c r="E68" s="15"/>
      <c r="F68" s="14"/>
      <c r="G68" s="14"/>
      <c r="H68" s="14"/>
      <c r="I68" s="14"/>
      <c r="J68" s="14"/>
      <c r="K68" s="14"/>
      <c r="L68" s="14"/>
      <c r="M68" s="14"/>
      <c r="N68" s="1196"/>
      <c r="O68" s="10"/>
      <c r="P68" s="9"/>
    </row>
    <row r="69" spans="1:16" x14ac:dyDescent="0.25">
      <c r="A69" s="15"/>
      <c r="B69" s="1195"/>
      <c r="C69" s="14"/>
      <c r="D69" s="14"/>
      <c r="E69" s="14"/>
      <c r="F69" s="14"/>
      <c r="G69" s="14"/>
      <c r="H69" s="14"/>
      <c r="I69" s="14"/>
      <c r="J69" s="14"/>
      <c r="K69" s="14"/>
      <c r="L69" s="14"/>
      <c r="M69" s="14"/>
      <c r="N69" s="1196"/>
      <c r="O69" s="10"/>
      <c r="P69" s="9"/>
    </row>
    <row r="70" spans="1:16" x14ac:dyDescent="0.25">
      <c r="A70" s="14"/>
      <c r="B70" s="1197"/>
      <c r="C70" s="1198"/>
      <c r="D70" s="1198"/>
      <c r="E70" s="1198"/>
      <c r="F70" s="1198"/>
      <c r="G70" s="1198"/>
      <c r="H70" s="1198"/>
      <c r="I70" s="1198"/>
      <c r="J70" s="1198"/>
      <c r="K70" s="1198"/>
      <c r="L70" s="1198"/>
      <c r="M70" s="1198"/>
      <c r="N70" s="1199"/>
      <c r="O70" s="10"/>
      <c r="P70" s="9"/>
    </row>
    <row r="71" spans="1:16" x14ac:dyDescent="0.25">
      <c r="A71" s="14"/>
      <c r="B71" s="15"/>
      <c r="C71" s="15"/>
      <c r="D71" s="15"/>
      <c r="E71" s="15"/>
      <c r="F71" s="15"/>
      <c r="G71" s="15"/>
      <c r="H71" s="15"/>
      <c r="I71" s="15"/>
      <c r="J71" s="15"/>
      <c r="K71" s="15"/>
      <c r="L71" s="15"/>
      <c r="M71" s="15"/>
      <c r="N71" s="10"/>
      <c r="O71" s="10"/>
      <c r="P71" s="9"/>
    </row>
    <row r="72" spans="1:16" ht="15.75" x14ac:dyDescent="0.25">
      <c r="A72" s="14"/>
      <c r="B72" s="1200" t="s">
        <v>2238</v>
      </c>
      <c r="C72" s="14"/>
      <c r="D72" s="14"/>
      <c r="E72" s="14"/>
      <c r="F72" s="14"/>
      <c r="G72" s="14"/>
      <c r="H72" s="14"/>
      <c r="I72" s="14"/>
      <c r="J72" s="14"/>
      <c r="K72" s="10"/>
      <c r="L72" s="10"/>
      <c r="M72" s="10"/>
      <c r="N72" s="10"/>
      <c r="O72" s="10"/>
      <c r="P72" s="9"/>
    </row>
    <row r="73" spans="1:16" x14ac:dyDescent="0.25">
      <c r="A73" s="1201"/>
      <c r="B73" s="1202"/>
      <c r="C73" s="1202"/>
      <c r="D73" s="1202"/>
      <c r="E73" s="1202"/>
      <c r="F73" s="1202"/>
      <c r="G73" s="1202"/>
      <c r="H73" s="1202"/>
      <c r="I73" s="1202"/>
      <c r="J73" s="1202"/>
      <c r="K73" s="1202"/>
      <c r="L73" s="1202"/>
      <c r="M73" s="1202"/>
      <c r="N73" s="1203"/>
      <c r="O73" s="10"/>
      <c r="P73" s="9"/>
    </row>
    <row r="74" spans="1:16" x14ac:dyDescent="0.25">
      <c r="A74" s="1201"/>
      <c r="B74" s="1227" t="s">
        <v>2239</v>
      </c>
      <c r="C74" s="15"/>
      <c r="D74" s="14"/>
      <c r="E74" s="14"/>
      <c r="F74" s="14"/>
      <c r="G74" s="14"/>
      <c r="H74" s="14"/>
      <c r="I74" s="14"/>
      <c r="J74" s="1190"/>
      <c r="K74" s="14"/>
      <c r="L74" s="1190"/>
      <c r="M74" s="1190"/>
      <c r="N74" s="1204"/>
      <c r="O74" s="10"/>
      <c r="P74" s="9"/>
    </row>
    <row r="75" spans="1:16" x14ac:dyDescent="0.25">
      <c r="A75" s="1201"/>
      <c r="B75" s="1227" t="s">
        <v>2240</v>
      </c>
      <c r="C75" s="15"/>
      <c r="D75" s="14"/>
      <c r="E75" s="14"/>
      <c r="F75" s="14"/>
      <c r="G75" s="14"/>
      <c r="H75" s="14"/>
      <c r="I75" s="14"/>
      <c r="J75" s="1190"/>
      <c r="K75" s="14"/>
      <c r="L75" s="1190"/>
      <c r="M75" s="1190"/>
      <c r="N75" s="1204"/>
      <c r="O75" s="10"/>
      <c r="P75" s="9"/>
    </row>
    <row r="76" spans="1:16" x14ac:dyDescent="0.25">
      <c r="A76" s="1201"/>
      <c r="B76" s="1227" t="s">
        <v>2240</v>
      </c>
      <c r="C76" s="15"/>
      <c r="D76" s="14"/>
      <c r="E76" s="14"/>
      <c r="F76" s="14"/>
      <c r="G76" s="14"/>
      <c r="H76" s="14"/>
      <c r="I76" s="14"/>
      <c r="J76" s="1190"/>
      <c r="K76" s="14"/>
      <c r="L76" s="1190"/>
      <c r="M76" s="1190"/>
      <c r="N76" s="1204"/>
      <c r="O76" s="10"/>
      <c r="P76" s="9"/>
    </row>
    <row r="77" spans="1:16" x14ac:dyDescent="0.25">
      <c r="A77" s="1201"/>
      <c r="B77" s="1227" t="s">
        <v>2240</v>
      </c>
      <c r="C77" s="15"/>
      <c r="D77" s="14"/>
      <c r="E77" s="14"/>
      <c r="F77" s="14"/>
      <c r="G77" s="14"/>
      <c r="H77" s="14"/>
      <c r="I77" s="14"/>
      <c r="J77" s="1190"/>
      <c r="K77" s="14"/>
      <c r="L77" s="1190"/>
      <c r="M77" s="1190"/>
      <c r="N77" s="1204"/>
      <c r="O77" s="10"/>
      <c r="P77" s="9"/>
    </row>
    <row r="78" spans="1:16" x14ac:dyDescent="0.25">
      <c r="A78" s="1201"/>
      <c r="B78" s="1227" t="s">
        <v>2239</v>
      </c>
      <c r="C78" s="15"/>
      <c r="D78" s="14"/>
      <c r="E78" s="14"/>
      <c r="F78" s="14"/>
      <c r="G78" s="14"/>
      <c r="H78" s="14"/>
      <c r="I78" s="14"/>
      <c r="J78" s="1190"/>
      <c r="K78" s="14"/>
      <c r="L78" s="1190"/>
      <c r="M78" s="1190"/>
      <c r="N78" s="1204"/>
      <c r="O78" s="10"/>
      <c r="P78" s="9"/>
    </row>
    <row r="79" spans="1:16" x14ac:dyDescent="0.25">
      <c r="A79" s="1201"/>
      <c r="B79" s="1227" t="s">
        <v>2241</v>
      </c>
      <c r="C79" s="15"/>
      <c r="D79" s="14"/>
      <c r="E79" s="14"/>
      <c r="F79" s="14"/>
      <c r="G79" s="14"/>
      <c r="H79" s="14"/>
      <c r="I79" s="14"/>
      <c r="J79" s="1190"/>
      <c r="K79" s="14"/>
      <c r="L79" s="1190"/>
      <c r="M79" s="1190"/>
      <c r="N79" s="1204"/>
      <c r="O79" s="10"/>
      <c r="P79" s="9"/>
    </row>
    <row r="80" spans="1:16" x14ac:dyDescent="0.25">
      <c r="A80" s="1201"/>
      <c r="B80" s="1371" t="s">
        <v>2239</v>
      </c>
      <c r="C80" s="15"/>
      <c r="D80" s="14"/>
      <c r="E80" s="14"/>
      <c r="F80" s="14"/>
      <c r="G80" s="14"/>
      <c r="H80" s="14"/>
      <c r="I80" s="14"/>
      <c r="J80" s="1190"/>
      <c r="K80" s="14"/>
      <c r="L80" s="1190"/>
      <c r="M80" s="1190"/>
      <c r="N80" s="1204"/>
      <c r="O80" s="10"/>
      <c r="P80" s="9"/>
    </row>
    <row r="81" spans="1:16" x14ac:dyDescent="0.25">
      <c r="A81" s="1201"/>
      <c r="B81" s="1371"/>
      <c r="C81" s="15"/>
      <c r="D81" s="14"/>
      <c r="E81" s="14"/>
      <c r="F81" s="14"/>
      <c r="G81" s="14"/>
      <c r="H81" s="14"/>
      <c r="I81" s="14"/>
      <c r="J81" s="1190"/>
      <c r="K81" s="14"/>
      <c r="L81" s="1190"/>
      <c r="M81" s="1190"/>
      <c r="N81" s="1204"/>
      <c r="O81" s="10"/>
      <c r="P81" s="9"/>
    </row>
    <row r="82" spans="1:16" x14ac:dyDescent="0.25">
      <c r="A82" s="1201"/>
      <c r="B82" s="15"/>
      <c r="C82" s="15"/>
      <c r="D82" s="14"/>
      <c r="E82" s="14"/>
      <c r="F82" s="10"/>
      <c r="G82" s="10"/>
      <c r="H82" s="10"/>
      <c r="I82" s="10"/>
      <c r="J82" s="1190"/>
      <c r="K82" s="10"/>
      <c r="L82" s="1190"/>
      <c r="M82" s="1190"/>
      <c r="N82" s="1204"/>
      <c r="O82" s="10"/>
      <c r="P82" s="9"/>
    </row>
    <row r="83" spans="1:16" x14ac:dyDescent="0.25">
      <c r="A83" s="1201"/>
      <c r="B83" s="14"/>
      <c r="C83" s="14"/>
      <c r="D83" s="14"/>
      <c r="E83" s="14"/>
      <c r="F83" s="10"/>
      <c r="G83" s="10"/>
      <c r="H83" s="10"/>
      <c r="I83" s="10"/>
      <c r="J83" s="1190"/>
      <c r="K83" s="10"/>
      <c r="L83" s="1190"/>
      <c r="M83" s="1190"/>
      <c r="N83" s="1204"/>
      <c r="O83" s="10"/>
      <c r="P83" s="9"/>
    </row>
    <row r="84" spans="1:16" x14ac:dyDescent="0.25">
      <c r="A84" s="1201"/>
      <c r="B84" s="14"/>
      <c r="C84" s="14"/>
      <c r="D84" s="14"/>
      <c r="E84" s="14"/>
      <c r="F84" s="10"/>
      <c r="G84" s="10"/>
      <c r="H84" s="10"/>
      <c r="I84" s="10"/>
      <c r="J84" s="1190"/>
      <c r="K84" s="10"/>
      <c r="L84" s="1190"/>
      <c r="M84" s="1190"/>
      <c r="N84" s="1204"/>
      <c r="O84" s="10"/>
      <c r="P84" s="9"/>
    </row>
    <row r="85" spans="1:16" x14ac:dyDescent="0.25">
      <c r="A85" s="1201"/>
      <c r="B85" s="14"/>
      <c r="C85" s="14"/>
      <c r="D85" s="14"/>
      <c r="E85" s="14"/>
      <c r="F85" s="10"/>
      <c r="G85" s="10"/>
      <c r="H85" s="10"/>
      <c r="I85" s="10"/>
      <c r="J85" s="1190"/>
      <c r="K85" s="10"/>
      <c r="L85" s="1190"/>
      <c r="M85" s="1190"/>
      <c r="N85" s="1204"/>
      <c r="O85" s="10"/>
      <c r="P85" s="9"/>
    </row>
    <row r="86" spans="1:16" x14ac:dyDescent="0.25">
      <c r="A86" s="1201"/>
      <c r="B86" s="14"/>
      <c r="C86" s="14"/>
      <c r="D86" s="14"/>
      <c r="E86" s="14"/>
      <c r="F86" s="10"/>
      <c r="G86" s="10"/>
      <c r="H86" s="10"/>
      <c r="I86" s="10"/>
      <c r="J86" s="1190"/>
      <c r="K86" s="10"/>
      <c r="L86" s="1190"/>
      <c r="M86" s="1190"/>
      <c r="N86" s="1204"/>
      <c r="O86" s="10"/>
      <c r="P86" s="9"/>
    </row>
    <row r="87" spans="1:16" x14ac:dyDescent="0.25">
      <c r="A87" s="1201"/>
      <c r="B87" s="14"/>
      <c r="C87" s="14"/>
      <c r="D87" s="14"/>
      <c r="E87" s="14"/>
      <c r="F87" s="10"/>
      <c r="G87" s="10"/>
      <c r="H87" s="10"/>
      <c r="I87" s="10"/>
      <c r="J87" s="1190"/>
      <c r="K87" s="10"/>
      <c r="L87" s="1190"/>
      <c r="M87" s="1190"/>
      <c r="N87" s="1204"/>
      <c r="O87" s="10"/>
      <c r="P87" s="9"/>
    </row>
    <row r="88" spans="1:16" x14ac:dyDescent="0.25">
      <c r="A88" s="1201"/>
      <c r="B88" s="1205"/>
      <c r="C88" s="1205"/>
      <c r="D88" s="1205"/>
      <c r="E88" s="1205"/>
      <c r="F88" s="1205"/>
      <c r="G88" s="1205"/>
      <c r="H88" s="1205"/>
      <c r="I88" s="1205"/>
      <c r="J88" s="1205"/>
      <c r="K88" s="1205"/>
      <c r="L88" s="1205"/>
      <c r="M88" s="1205"/>
      <c r="N88" s="1206"/>
      <c r="O88" s="10"/>
      <c r="P88" s="9"/>
    </row>
    <row r="89" spans="1:16" x14ac:dyDescent="0.25">
      <c r="A89" s="14"/>
      <c r="B89" s="14"/>
      <c r="C89" s="14"/>
      <c r="D89" s="14"/>
      <c r="E89" s="14"/>
      <c r="F89" s="10"/>
      <c r="G89" s="10"/>
      <c r="H89" s="10"/>
      <c r="I89" s="10"/>
      <c r="J89" s="10"/>
      <c r="K89" s="10"/>
      <c r="L89" s="10"/>
      <c r="M89" s="10"/>
      <c r="N89" s="10"/>
      <c r="O89" s="10"/>
      <c r="P89" s="9"/>
    </row>
    <row r="90" spans="1:16" ht="15.75" thickBot="1" x14ac:dyDescent="0.3">
      <c r="A90" s="14"/>
      <c r="B90" s="14"/>
      <c r="C90" s="14"/>
      <c r="D90" s="14"/>
      <c r="E90" s="14"/>
      <c r="F90" s="14"/>
      <c r="G90" s="14"/>
      <c r="H90" s="14"/>
      <c r="I90" s="14"/>
      <c r="J90" s="14"/>
      <c r="K90" s="14"/>
      <c r="L90" s="10"/>
      <c r="M90" s="10"/>
      <c r="N90" s="10"/>
      <c r="O90" s="10"/>
      <c r="P90" s="9"/>
    </row>
    <row r="91" spans="1:16" ht="15.75" thickBot="1" x14ac:dyDescent="0.3">
      <c r="A91" s="14"/>
      <c r="B91" s="952" t="s">
        <v>1165</v>
      </c>
      <c r="C91" s="14"/>
      <c r="D91" s="14"/>
      <c r="E91" s="14"/>
      <c r="F91" s="14"/>
      <c r="G91" s="14"/>
      <c r="H91" s="14"/>
      <c r="I91" s="14"/>
      <c r="J91" s="14"/>
      <c r="K91" s="14"/>
      <c r="L91" s="733"/>
      <c r="M91" s="733"/>
      <c r="N91" s="733"/>
      <c r="O91" s="10"/>
      <c r="P91" s="9"/>
    </row>
    <row r="92" spans="1:16" ht="12" customHeight="1" thickBot="1" x14ac:dyDescent="0.3">
      <c r="A92" s="14"/>
      <c r="B92" s="14"/>
      <c r="C92" s="14"/>
      <c r="D92" s="14"/>
      <c r="E92" s="14"/>
      <c r="F92" s="14"/>
      <c r="G92" s="14"/>
      <c r="H92" s="14"/>
      <c r="I92" s="14"/>
      <c r="J92" s="14"/>
      <c r="K92" s="14"/>
      <c r="L92" s="733"/>
      <c r="M92" s="733"/>
      <c r="N92" s="733"/>
      <c r="O92" s="10"/>
      <c r="P92" s="9"/>
    </row>
    <row r="93" spans="1:16" ht="16.5" customHeight="1" thickBot="1" x14ac:dyDescent="0.3">
      <c r="A93" s="14"/>
      <c r="B93" s="1207" t="s">
        <v>1166</v>
      </c>
      <c r="C93" s="1208"/>
      <c r="D93" s="1208"/>
      <c r="E93" s="1208"/>
      <c r="F93" s="14"/>
      <c r="G93" s="1207" t="s">
        <v>2242</v>
      </c>
      <c r="H93" s="1208"/>
      <c r="I93" s="1208"/>
      <c r="J93" s="1208"/>
      <c r="K93" s="1207"/>
      <c r="L93" s="1208"/>
      <c r="M93" s="733"/>
      <c r="N93" s="733"/>
      <c r="O93" s="10"/>
      <c r="P93" s="9"/>
    </row>
    <row r="94" spans="1:16" ht="16.5" customHeight="1" thickBot="1" x14ac:dyDescent="0.3">
      <c r="A94" s="14"/>
      <c r="B94" s="1207" t="s">
        <v>2243</v>
      </c>
      <c r="C94" s="1208"/>
      <c r="D94" s="1208"/>
      <c r="E94" s="1208"/>
      <c r="F94" s="1209"/>
      <c r="G94" s="1207" t="s">
        <v>1167</v>
      </c>
      <c r="H94" s="1208"/>
      <c r="I94" s="1208"/>
      <c r="J94" s="1208"/>
      <c r="K94" s="1207"/>
      <c r="L94" s="1208"/>
      <c r="M94" s="733"/>
      <c r="N94" s="733"/>
      <c r="O94" s="10"/>
      <c r="P94" s="9"/>
    </row>
    <row r="95" spans="1:16" ht="16.5" customHeight="1" thickBot="1" x14ac:dyDescent="0.3">
      <c r="A95" s="14"/>
      <c r="B95" s="1207" t="s">
        <v>1168</v>
      </c>
      <c r="C95" s="1208"/>
      <c r="D95" s="1208"/>
      <c r="E95" s="1208"/>
      <c r="F95" s="1209"/>
      <c r="G95" s="1207" t="s">
        <v>1169</v>
      </c>
      <c r="H95" s="1208"/>
      <c r="I95" s="1208"/>
      <c r="J95" s="1208"/>
      <c r="K95" s="1207"/>
      <c r="L95" s="1208"/>
      <c r="M95" s="733"/>
      <c r="N95" s="733"/>
      <c r="O95" s="10"/>
      <c r="P95" s="9"/>
    </row>
    <row r="96" spans="1:16" ht="16.5" customHeight="1" thickBot="1" x14ac:dyDescent="0.3">
      <c r="A96" s="14"/>
      <c r="B96" s="1207" t="s">
        <v>1170</v>
      </c>
      <c r="C96" s="1208"/>
      <c r="D96" s="1208"/>
      <c r="E96" s="1208"/>
      <c r="F96" s="1209"/>
      <c r="G96" s="1207" t="s">
        <v>2244</v>
      </c>
      <c r="H96" s="1208"/>
      <c r="I96" s="1208"/>
      <c r="J96" s="1208"/>
      <c r="K96" s="1207"/>
      <c r="L96" s="1208"/>
      <c r="M96" s="733"/>
      <c r="N96" s="733"/>
      <c r="O96" s="10"/>
      <c r="P96" s="9"/>
    </row>
    <row r="97" spans="1:16" ht="16.5" customHeight="1" thickBot="1" x14ac:dyDescent="0.3">
      <c r="A97" s="14"/>
      <c r="B97" s="1207" t="s">
        <v>1171</v>
      </c>
      <c r="C97" s="1208"/>
      <c r="D97" s="1208"/>
      <c r="E97" s="1208"/>
      <c r="F97" s="1209"/>
      <c r="G97" s="1207" t="s">
        <v>2708</v>
      </c>
      <c r="H97" s="1208"/>
      <c r="I97" s="1208"/>
      <c r="J97" s="1208"/>
      <c r="K97" s="1207"/>
      <c r="L97" s="1208"/>
      <c r="M97" s="733"/>
      <c r="N97" s="733"/>
      <c r="O97" s="10"/>
      <c r="P97" s="9"/>
    </row>
    <row r="98" spans="1:16" ht="16.5" customHeight="1" thickBot="1" x14ac:dyDescent="0.3">
      <c r="A98" s="14"/>
      <c r="B98" s="1207" t="s">
        <v>1172</v>
      </c>
      <c r="C98" s="1208"/>
      <c r="D98" s="1208"/>
      <c r="E98" s="1208"/>
      <c r="F98" s="1209"/>
      <c r="G98" s="1207" t="s">
        <v>2709</v>
      </c>
      <c r="H98" s="1208"/>
      <c r="I98" s="1208"/>
      <c r="J98" s="1208"/>
      <c r="K98" s="1207"/>
      <c r="L98" s="1208"/>
      <c r="M98" s="733"/>
      <c r="N98" s="733"/>
      <c r="O98" s="10"/>
      <c r="P98" s="9"/>
    </row>
    <row r="99" spans="1:16" ht="16.5" customHeight="1" thickBot="1" x14ac:dyDescent="0.3">
      <c r="A99" s="14"/>
      <c r="B99" s="1207" t="s">
        <v>2245</v>
      </c>
      <c r="C99" s="1208"/>
      <c r="D99" s="1208"/>
      <c r="E99" s="1208"/>
      <c r="F99" s="1209"/>
      <c r="G99" s="1207" t="s">
        <v>2710</v>
      </c>
      <c r="H99" s="1208"/>
      <c r="I99" s="1208"/>
      <c r="J99" s="1208"/>
      <c r="K99" s="1207"/>
      <c r="L99" s="1208"/>
      <c r="M99" s="733"/>
      <c r="N99" s="733"/>
      <c r="O99" s="10"/>
      <c r="P99" s="9"/>
    </row>
    <row r="100" spans="1:16" ht="16.5" customHeight="1" x14ac:dyDescent="0.25">
      <c r="A100" s="14"/>
      <c r="B100" s="1207" t="s">
        <v>2246</v>
      </c>
      <c r="C100" s="1208"/>
      <c r="D100" s="1208"/>
      <c r="E100" s="1208"/>
      <c r="F100" s="1209"/>
      <c r="G100" s="1207" t="s">
        <v>2711</v>
      </c>
      <c r="H100" s="1208"/>
      <c r="I100" s="1208"/>
      <c r="J100" s="1208"/>
      <c r="K100" s="1207"/>
      <c r="L100" s="1208"/>
      <c r="M100" s="10"/>
      <c r="N100" s="10"/>
      <c r="O100" s="10"/>
      <c r="P100" s="9"/>
    </row>
    <row r="101" spans="1:16" ht="16.5" customHeight="1" x14ac:dyDescent="0.25">
      <c r="A101" s="14"/>
      <c r="B101" s="1207" t="s">
        <v>1173</v>
      </c>
      <c r="C101" s="1208"/>
      <c r="D101" s="1208"/>
      <c r="E101" s="1208"/>
      <c r="F101" s="1209"/>
      <c r="G101" s="1207" t="s">
        <v>1174</v>
      </c>
      <c r="H101" s="1208"/>
      <c r="I101" s="1208"/>
      <c r="J101" s="1208"/>
      <c r="K101" s="1207"/>
      <c r="L101" s="1208"/>
      <c r="M101" s="10"/>
      <c r="N101" s="10"/>
      <c r="O101" s="10"/>
      <c r="P101" s="9"/>
    </row>
    <row r="102" spans="1:16" ht="16.5" customHeight="1" x14ac:dyDescent="0.25">
      <c r="A102" s="14"/>
      <c r="B102" s="1207" t="s">
        <v>2247</v>
      </c>
      <c r="C102" s="1208"/>
      <c r="D102" s="1208"/>
      <c r="E102" s="1208"/>
      <c r="F102" s="1209"/>
      <c r="G102" s="1207" t="s">
        <v>2248</v>
      </c>
      <c r="H102" s="1208"/>
      <c r="I102" s="1208"/>
      <c r="J102" s="1208"/>
      <c r="K102" s="1207"/>
      <c r="L102" s="1208"/>
      <c r="M102" s="10"/>
      <c r="N102" s="10"/>
      <c r="O102" s="10"/>
      <c r="P102" s="9"/>
    </row>
    <row r="103" spans="1:16" ht="16.5" customHeight="1" x14ac:dyDescent="0.25">
      <c r="A103" s="14"/>
      <c r="B103" s="1207" t="s">
        <v>2249</v>
      </c>
      <c r="C103" s="1208"/>
      <c r="D103" s="1208"/>
      <c r="E103" s="1208"/>
      <c r="F103" s="1209"/>
      <c r="G103" s="1207" t="s">
        <v>1175</v>
      </c>
      <c r="H103" s="1208"/>
      <c r="I103" s="1208"/>
      <c r="J103" s="1208"/>
      <c r="K103" s="1207"/>
      <c r="L103" s="1208"/>
      <c r="M103" s="10"/>
      <c r="N103" s="10"/>
      <c r="O103" s="10"/>
      <c r="P103" s="9"/>
    </row>
    <row r="104" spans="1:16" ht="16.5" customHeight="1" x14ac:dyDescent="0.25">
      <c r="A104" s="14"/>
      <c r="B104" s="1207" t="s">
        <v>2250</v>
      </c>
      <c r="C104" s="1208"/>
      <c r="D104" s="1208"/>
      <c r="E104" s="1208"/>
      <c r="F104" s="1209"/>
      <c r="G104" s="1207" t="s">
        <v>2712</v>
      </c>
      <c r="H104" s="1208"/>
      <c r="I104" s="1208"/>
      <c r="J104" s="1208"/>
      <c r="K104" s="1207"/>
      <c r="L104" s="1208"/>
      <c r="M104" s="10"/>
      <c r="N104" s="10"/>
      <c r="O104" s="10"/>
      <c r="P104" s="9"/>
    </row>
    <row r="105" spans="1:16" ht="16.5" customHeight="1" x14ac:dyDescent="0.25">
      <c r="A105" s="14"/>
      <c r="B105" s="1207" t="s">
        <v>1176</v>
      </c>
      <c r="C105" s="1208"/>
      <c r="D105" s="1208"/>
      <c r="E105" s="1208"/>
      <c r="F105" s="1209"/>
      <c r="G105" s="1207" t="s">
        <v>1177</v>
      </c>
      <c r="H105" s="1208"/>
      <c r="I105" s="1208"/>
      <c r="J105" s="1208"/>
      <c r="K105" s="1207"/>
      <c r="L105" s="1208"/>
      <c r="M105" s="10"/>
      <c r="N105" s="10"/>
      <c r="O105" s="10"/>
      <c r="P105" s="9"/>
    </row>
    <row r="106" spans="1:16" ht="16.5" customHeight="1" x14ac:dyDescent="0.25">
      <c r="A106" s="14"/>
      <c r="B106" s="1207" t="s">
        <v>2713</v>
      </c>
      <c r="C106" s="1208"/>
      <c r="D106" s="1208"/>
      <c r="E106" s="1208"/>
      <c r="F106" s="1209"/>
      <c r="G106" s="1207" t="s">
        <v>2714</v>
      </c>
      <c r="H106" s="1208"/>
      <c r="I106" s="1208"/>
      <c r="J106" s="1208"/>
      <c r="K106" s="1207"/>
      <c r="L106" s="1208"/>
      <c r="M106" s="10"/>
      <c r="N106" s="10"/>
      <c r="O106" s="10"/>
      <c r="P106" s="9"/>
    </row>
    <row r="107" spans="1:16" ht="16.5" customHeight="1" x14ac:dyDescent="0.25">
      <c r="A107" s="14"/>
      <c r="B107" s="1207" t="s">
        <v>1178</v>
      </c>
      <c r="C107" s="1208"/>
      <c r="D107" s="1208"/>
      <c r="E107" s="1208"/>
      <c r="F107" s="1209"/>
      <c r="G107" s="1207" t="s">
        <v>2251</v>
      </c>
      <c r="H107" s="1208"/>
      <c r="I107" s="1208"/>
      <c r="J107" s="1208"/>
      <c r="K107" s="1207"/>
      <c r="L107" s="1208"/>
      <c r="M107" s="10"/>
      <c r="N107" s="10"/>
      <c r="O107" s="10"/>
      <c r="P107" s="9"/>
    </row>
    <row r="108" spans="1:16" ht="16.5" customHeight="1" x14ac:dyDescent="0.25">
      <c r="A108" s="14"/>
      <c r="B108" s="1207" t="s">
        <v>1179</v>
      </c>
      <c r="C108" s="1208"/>
      <c r="D108" s="1208"/>
      <c r="E108" s="1208"/>
      <c r="F108" s="1209"/>
      <c r="G108" s="1207" t="s">
        <v>1180</v>
      </c>
      <c r="H108" s="1208"/>
      <c r="I108" s="1208"/>
      <c r="J108" s="1208"/>
      <c r="K108" s="1207"/>
      <c r="L108" s="1208"/>
      <c r="M108" s="10"/>
      <c r="N108" s="10"/>
      <c r="O108" s="10"/>
      <c r="P108" s="9"/>
    </row>
    <row r="109" spans="1:16" ht="16.5" customHeight="1" x14ac:dyDescent="0.25">
      <c r="A109" s="14"/>
      <c r="B109" s="1207" t="s">
        <v>1181</v>
      </c>
      <c r="C109" s="1208"/>
      <c r="D109" s="1208"/>
      <c r="E109" s="1208"/>
      <c r="F109" s="1209"/>
      <c r="G109" s="1207" t="s">
        <v>2252</v>
      </c>
      <c r="H109" s="1208"/>
      <c r="I109" s="1208"/>
      <c r="J109" s="1208"/>
      <c r="K109" s="1207"/>
      <c r="L109" s="1208"/>
      <c r="M109" s="10"/>
      <c r="N109" s="10"/>
      <c r="O109" s="10"/>
      <c r="P109" s="9"/>
    </row>
    <row r="110" spans="1:16" ht="30" customHeight="1" x14ac:dyDescent="0.25">
      <c r="A110" s="14"/>
      <c r="B110" s="1370" t="s">
        <v>2715</v>
      </c>
      <c r="C110" s="1370"/>
      <c r="D110" s="1370"/>
      <c r="E110" s="1370"/>
      <c r="F110" s="1370"/>
      <c r="G110" s="1207" t="s">
        <v>2253</v>
      </c>
      <c r="H110" s="1208"/>
      <c r="I110" s="1208"/>
      <c r="J110" s="1208"/>
      <c r="K110" s="1207"/>
      <c r="L110" s="1208"/>
      <c r="M110" s="10"/>
      <c r="N110" s="10"/>
      <c r="O110" s="10"/>
      <c r="P110" s="9"/>
    </row>
    <row r="111" spans="1:16" ht="16.5" customHeight="1" x14ac:dyDescent="0.25">
      <c r="A111" s="14"/>
      <c r="B111" s="1207" t="s">
        <v>2254</v>
      </c>
      <c r="C111" s="1208"/>
      <c r="D111" s="1208"/>
      <c r="E111" s="1208"/>
      <c r="F111" s="1207"/>
      <c r="G111" s="1207"/>
      <c r="H111" s="1208"/>
      <c r="I111" s="1208"/>
      <c r="J111" s="1208"/>
      <c r="K111" s="1207"/>
      <c r="L111" s="1208"/>
      <c r="M111" s="10"/>
      <c r="N111" s="10"/>
      <c r="O111" s="10"/>
      <c r="P111" s="9"/>
    </row>
    <row r="112" spans="1:16" x14ac:dyDescent="0.25">
      <c r="A112" s="14"/>
      <c r="B112" s="1209"/>
      <c r="C112" s="1209"/>
      <c r="D112" s="1209"/>
      <c r="E112" s="1209"/>
      <c r="F112" s="1209"/>
      <c r="G112" s="1209"/>
      <c r="H112" s="1209"/>
      <c r="I112" s="1209"/>
      <c r="J112" s="1209"/>
      <c r="K112" s="14"/>
      <c r="L112" s="10"/>
      <c r="M112" s="10"/>
      <c r="N112" s="10"/>
      <c r="O112" s="10"/>
      <c r="P112" s="9"/>
    </row>
    <row r="113" spans="1:16" x14ac:dyDescent="0.25">
      <c r="A113" s="14"/>
      <c r="B113" s="14"/>
      <c r="C113" s="14"/>
      <c r="D113" s="14"/>
      <c r="E113" s="14"/>
      <c r="F113" s="14"/>
      <c r="G113" s="14"/>
      <c r="H113" s="14"/>
      <c r="I113" s="14"/>
      <c r="J113" s="14"/>
      <c r="K113" s="14"/>
      <c r="L113" s="10"/>
      <c r="M113" s="10"/>
      <c r="N113" s="10"/>
      <c r="O113" s="10"/>
      <c r="P113" s="9"/>
    </row>
    <row r="114" spans="1:16" hidden="1" x14ac:dyDescent="0.25">
      <c r="A114" s="14"/>
      <c r="B114" s="14"/>
      <c r="C114" s="14"/>
      <c r="D114" s="14"/>
      <c r="E114" s="14"/>
      <c r="F114" s="14"/>
      <c r="G114" s="14"/>
      <c r="H114" s="14"/>
      <c r="I114" s="14"/>
      <c r="J114" s="14"/>
      <c r="K114" s="14"/>
      <c r="L114" s="10"/>
      <c r="M114" s="10"/>
      <c r="N114" s="10"/>
      <c r="O114" s="10"/>
      <c r="P114" s="9"/>
    </row>
    <row r="115" spans="1:16" hidden="1" x14ac:dyDescent="0.25">
      <c r="A115" s="14"/>
      <c r="B115" s="14"/>
      <c r="C115" s="14"/>
      <c r="D115" s="14"/>
      <c r="E115" s="14"/>
      <c r="F115" s="14"/>
      <c r="G115" s="14"/>
      <c r="H115" s="14"/>
      <c r="I115" s="14"/>
      <c r="J115" s="14"/>
      <c r="K115" s="14"/>
      <c r="L115" s="10"/>
      <c r="M115" s="10"/>
      <c r="N115" s="10"/>
      <c r="O115" s="10"/>
      <c r="P115" s="9"/>
    </row>
    <row r="116" spans="1:16" hidden="1" x14ac:dyDescent="0.25">
      <c r="A116" s="14"/>
      <c r="B116" s="14"/>
      <c r="C116" s="14"/>
      <c r="D116" s="14"/>
      <c r="E116" s="14"/>
      <c r="F116" s="14"/>
      <c r="G116" s="14"/>
      <c r="H116" s="14"/>
      <c r="I116" s="14"/>
      <c r="J116" s="14"/>
      <c r="K116" s="14"/>
      <c r="L116" s="10"/>
      <c r="M116" s="10"/>
      <c r="N116" s="10"/>
      <c r="O116" s="10"/>
      <c r="P116" s="9"/>
    </row>
    <row r="117" spans="1:16" hidden="1" x14ac:dyDescent="0.25">
      <c r="A117" s="14"/>
      <c r="B117" s="14"/>
      <c r="C117" s="14"/>
      <c r="D117" s="14"/>
      <c r="E117" s="14"/>
      <c r="F117" s="14"/>
      <c r="G117" s="14"/>
      <c r="H117" s="14"/>
      <c r="I117" s="14"/>
      <c r="J117" s="14"/>
      <c r="K117" s="14"/>
      <c r="L117" s="10"/>
      <c r="M117" s="10"/>
      <c r="N117" s="10"/>
      <c r="O117" s="10"/>
      <c r="P117" s="9"/>
    </row>
    <row r="118" spans="1:16" hidden="1" x14ac:dyDescent="0.25">
      <c r="A118" s="14"/>
      <c r="B118" s="14"/>
      <c r="C118" s="14"/>
      <c r="D118" s="14"/>
      <c r="E118" s="14"/>
      <c r="F118" s="14"/>
      <c r="G118" s="14"/>
      <c r="H118" s="14"/>
      <c r="I118" s="14"/>
      <c r="J118" s="14"/>
      <c r="K118" s="14"/>
      <c r="L118" s="10"/>
      <c r="M118" s="10"/>
      <c r="N118" s="10"/>
      <c r="O118" s="10"/>
      <c r="P118" s="9"/>
    </row>
    <row r="119" spans="1:16" hidden="1" x14ac:dyDescent="0.25">
      <c r="A119" s="14"/>
      <c r="B119" s="14"/>
      <c r="C119" s="14"/>
      <c r="D119" s="14"/>
      <c r="E119" s="14"/>
      <c r="F119" s="14"/>
      <c r="G119" s="14"/>
      <c r="H119" s="14"/>
      <c r="I119" s="14"/>
      <c r="J119" s="14"/>
      <c r="K119" s="14"/>
      <c r="L119" s="10"/>
      <c r="M119" s="10"/>
      <c r="N119" s="10"/>
      <c r="O119" s="10"/>
      <c r="P119" s="9"/>
    </row>
    <row r="120" spans="1:16" hidden="1" x14ac:dyDescent="0.25">
      <c r="A120" s="14"/>
      <c r="B120" s="14"/>
      <c r="C120" s="14"/>
      <c r="D120" s="14"/>
      <c r="E120" s="14"/>
      <c r="F120" s="14"/>
      <c r="G120" s="14"/>
      <c r="H120" s="14"/>
      <c r="I120" s="14"/>
      <c r="J120" s="14"/>
      <c r="K120" s="14"/>
      <c r="L120" s="10"/>
      <c r="M120" s="10"/>
      <c r="N120" s="10"/>
      <c r="O120" s="10"/>
      <c r="P120" s="9"/>
    </row>
    <row r="121" spans="1:16" hidden="1" x14ac:dyDescent="0.25">
      <c r="B121" s="288"/>
      <c r="C121" s="288"/>
      <c r="D121" s="288"/>
      <c r="E121" s="288"/>
      <c r="F121" s="288"/>
      <c r="G121" s="288"/>
      <c r="H121" s="288"/>
      <c r="I121" s="288"/>
      <c r="J121" s="288"/>
      <c r="K121" s="288"/>
      <c r="L121" s="9"/>
      <c r="M121" s="9"/>
      <c r="N121" s="9"/>
      <c r="O121" s="9"/>
      <c r="P121" s="9"/>
    </row>
    <row r="122" spans="1:16" hidden="1" x14ac:dyDescent="0.25">
      <c r="B122" s="288"/>
      <c r="C122" s="288"/>
      <c r="D122" s="288"/>
      <c r="E122" s="288"/>
      <c r="F122" s="288"/>
      <c r="G122" s="288"/>
      <c r="H122" s="288"/>
      <c r="I122" s="288"/>
      <c r="J122" s="288"/>
      <c r="K122" s="288"/>
      <c r="L122" s="9"/>
      <c r="M122" s="9"/>
      <c r="N122" s="9"/>
      <c r="O122" s="9"/>
      <c r="P122" s="9"/>
    </row>
    <row r="123" spans="1:16" hidden="1" x14ac:dyDescent="0.25">
      <c r="B123" s="14"/>
      <c r="C123" s="14"/>
      <c r="D123" s="14"/>
      <c r="E123" s="14"/>
      <c r="F123" s="14"/>
      <c r="G123" s="14"/>
      <c r="H123" s="14"/>
      <c r="I123" s="14"/>
      <c r="J123" s="14"/>
      <c r="K123" s="14"/>
      <c r="L123" s="10"/>
      <c r="M123" s="10"/>
      <c r="N123" s="10"/>
      <c r="O123" s="10"/>
      <c r="P123" s="10"/>
    </row>
    <row r="124" spans="1:16" hidden="1" x14ac:dyDescent="0.25">
      <c r="B124" s="14"/>
      <c r="C124" s="14"/>
      <c r="D124" s="14"/>
      <c r="E124" s="14"/>
      <c r="F124" s="14"/>
      <c r="G124" s="14"/>
      <c r="H124" s="14"/>
      <c r="I124" s="14"/>
      <c r="J124" s="14"/>
      <c r="K124" s="14"/>
      <c r="L124" s="10"/>
      <c r="M124" s="10"/>
      <c r="N124" s="10"/>
      <c r="O124" s="10"/>
      <c r="P124" s="10"/>
    </row>
    <row r="125" spans="1:16" hidden="1" x14ac:dyDescent="0.25">
      <c r="B125" s="10"/>
      <c r="C125" s="10"/>
      <c r="D125" s="10"/>
      <c r="E125" s="10"/>
      <c r="F125" s="10"/>
      <c r="G125" s="10"/>
      <c r="H125" s="10"/>
      <c r="I125" s="10"/>
      <c r="J125" s="10"/>
      <c r="K125" s="10"/>
      <c r="L125" s="10"/>
      <c r="M125" s="10"/>
      <c r="N125" s="10"/>
      <c r="O125" s="10"/>
      <c r="P125" s="10"/>
    </row>
    <row r="126" spans="1:16" hidden="1" x14ac:dyDescent="0.25">
      <c r="B126" s="10"/>
      <c r="C126" s="10"/>
      <c r="D126" s="10"/>
      <c r="E126" s="10"/>
      <c r="F126" s="10"/>
      <c r="G126" s="10"/>
      <c r="H126" s="10"/>
      <c r="I126" s="10"/>
      <c r="J126" s="10"/>
      <c r="K126" s="10"/>
      <c r="L126" s="10"/>
      <c r="M126" s="10"/>
      <c r="N126" s="10"/>
      <c r="O126" s="10"/>
      <c r="P126" s="10"/>
    </row>
    <row r="127" spans="1:16" hidden="1" x14ac:dyDescent="0.25">
      <c r="B127" s="10"/>
      <c r="C127" s="10"/>
      <c r="D127" s="10"/>
      <c r="E127" s="10"/>
      <c r="F127" s="10"/>
      <c r="G127" s="10"/>
      <c r="H127" s="10"/>
      <c r="I127" s="10"/>
      <c r="J127" s="10"/>
      <c r="K127" s="10"/>
      <c r="L127" s="10"/>
      <c r="M127" s="10"/>
      <c r="N127" s="10"/>
      <c r="O127" s="10"/>
      <c r="P127" s="10"/>
    </row>
    <row r="128" spans="1:16" hidden="1" x14ac:dyDescent="0.25">
      <c r="B128" s="10"/>
      <c r="C128" s="10"/>
      <c r="D128" s="10"/>
      <c r="E128" s="10"/>
      <c r="F128" s="10"/>
      <c r="G128" s="10"/>
      <c r="H128" s="10"/>
      <c r="I128" s="10"/>
      <c r="J128" s="10"/>
      <c r="K128" s="10"/>
      <c r="L128" s="10"/>
      <c r="M128" s="10"/>
      <c r="N128" s="10"/>
      <c r="O128" s="10"/>
      <c r="P128" s="10"/>
    </row>
    <row r="129" spans="2:16" hidden="1" x14ac:dyDescent="0.25">
      <c r="B129" s="10"/>
      <c r="C129" s="10"/>
      <c r="D129" s="10"/>
      <c r="E129" s="10"/>
      <c r="F129" s="10"/>
      <c r="G129" s="10"/>
      <c r="H129" s="10"/>
      <c r="I129" s="10"/>
      <c r="J129" s="10"/>
      <c r="K129" s="10"/>
      <c r="L129" s="10"/>
      <c r="M129" s="10"/>
      <c r="N129" s="10"/>
      <c r="O129" s="10"/>
      <c r="P129" s="10"/>
    </row>
    <row r="130" spans="2:16" hidden="1" x14ac:dyDescent="0.25">
      <c r="B130" s="10"/>
      <c r="C130" s="10"/>
      <c r="D130" s="10"/>
      <c r="E130" s="10"/>
      <c r="F130" s="10"/>
      <c r="G130" s="10"/>
      <c r="H130" s="10"/>
      <c r="I130" s="10"/>
      <c r="J130" s="10"/>
      <c r="K130" s="10"/>
      <c r="L130" s="10"/>
      <c r="M130" s="10"/>
      <c r="N130" s="10"/>
      <c r="O130" s="10"/>
      <c r="P130" s="10"/>
    </row>
    <row r="131" spans="2:16" hidden="1" x14ac:dyDescent="0.25"/>
    <row r="132" spans="2:16" hidden="1" x14ac:dyDescent="0.25"/>
    <row r="133" spans="2:16" ht="15" hidden="1" customHeight="1" x14ac:dyDescent="0.25"/>
    <row r="134" spans="2:16" ht="15" hidden="1" customHeight="1" x14ac:dyDescent="0.25"/>
    <row r="135" spans="2:16" ht="15" hidden="1" customHeight="1" x14ac:dyDescent="0.25"/>
    <row r="136" spans="2:16" ht="15" hidden="1" customHeight="1" x14ac:dyDescent="0.25"/>
    <row r="137" spans="2:16" ht="15" hidden="1" customHeight="1" x14ac:dyDescent="0.25"/>
    <row r="138" spans="2:16" ht="15" hidden="1" customHeight="1" x14ac:dyDescent="0.25"/>
    <row r="139" spans="2:16" ht="15" hidden="1" customHeight="1" x14ac:dyDescent="0.25"/>
    <row r="140" spans="2:16" ht="15" hidden="1" customHeight="1" x14ac:dyDescent="0.25"/>
    <row r="141" spans="2:16" ht="15" hidden="1" customHeight="1" x14ac:dyDescent="0.25"/>
    <row r="142" spans="2:16" ht="15" hidden="1" customHeight="1" x14ac:dyDescent="0.25"/>
    <row r="143" spans="2:16" ht="15" hidden="1" customHeight="1" x14ac:dyDescent="0.25"/>
    <row r="144" spans="2:16"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sheetData>
  <sheetProtection algorithmName="SHA-512" hashValue="Uzd01Jl0Hdd9hk81uzQ5mwKCqfzyhYxY6VLNswGlYHyW3RJ3JnHeRmj9JpF2Ty8IETJEpDTsUKtS79lD2GfdKg==" saltValue="KXfRO0W7fkRdEo59IMnKtw==" spinCount="100000" sheet="1" objects="1" scenarios="1" selectLockedCells="1"/>
  <mergeCells count="14">
    <mergeCell ref="B110:F110"/>
    <mergeCell ref="A24:D24"/>
    <mergeCell ref="B26:N26"/>
    <mergeCell ref="B80:B81"/>
    <mergeCell ref="B8:N8"/>
    <mergeCell ref="B9:N9"/>
    <mergeCell ref="A11:D11"/>
    <mergeCell ref="B20:N20"/>
    <mergeCell ref="B22:N22"/>
    <mergeCell ref="A1:O1"/>
    <mergeCell ref="A3:D3"/>
    <mergeCell ref="B5:N5"/>
    <mergeCell ref="B6:N6"/>
    <mergeCell ref="B7:N7"/>
  </mergeCells>
  <hyperlinks>
    <hyperlink ref="B104" r:id="rId1" display="OUT-2 Design"/>
    <hyperlink ref="G105" r:id="rId2" display="Quoc Viet Technology JSC"/>
    <hyperlink ref="G104" r:id="rId3"/>
    <hyperlink ref="B102" r:id="rId4" display="Lap Nguyen Corporation"/>
    <hyperlink ref="G102" r:id="rId5" display="NAMA Consulting Architecture Construction Investment., JSC."/>
    <hyperlink ref="G99" r:id="rId6"/>
    <hyperlink ref="G101" r:id="rId7"/>
    <hyperlink ref="G103" r:id="rId8"/>
    <hyperlink ref="B103" r:id="rId9"/>
    <hyperlink ref="G100" r:id="rId10" display="Hoang Tam Architecture &amp; Interior "/>
    <hyperlink ref="G97" r:id="rId11"/>
    <hyperlink ref="G98" r:id="rId12" display="Dragon Capital"/>
    <hyperlink ref="G105:L105" r:id="rId13" display="RCR infrastructure Vietnam "/>
    <hyperlink ref="G104:L104" r:id="rId14" display="Phu Qui B.D.Q"/>
    <hyperlink ref="B104:E104" r:id="rId15" display="PALM Landscape"/>
    <hyperlink ref="G102:L102" r:id="rId16" display="New Era Block Tile JSC"/>
    <hyperlink ref="B102:E102" r:id="rId17" display="NAMA Consulting Architecture Construction Investment., JSC."/>
    <hyperlink ref="G94" r:id="rId18"/>
    <hyperlink ref="B95" r:id="rId19"/>
    <hyperlink ref="G95" r:id="rId20"/>
    <hyperlink ref="B96" r:id="rId21"/>
    <hyperlink ref="G96" r:id="rId22" display="http://www.cc1mekong.com/"/>
    <hyperlink ref="B97" r:id="rId23"/>
    <hyperlink ref="B98" r:id="rId24"/>
    <hyperlink ref="B100" r:id="rId25"/>
    <hyperlink ref="B107" r:id="rId26"/>
    <hyperlink ref="G107" r:id="rId27"/>
    <hyperlink ref="B93" r:id="rId28"/>
    <hyperlink ref="B108" r:id="rId29"/>
    <hyperlink ref="G108" r:id="rId30"/>
    <hyperlink ref="G109" r:id="rId31"/>
    <hyperlink ref="B109" r:id="rId32"/>
    <hyperlink ref="G110" r:id="rId33"/>
    <hyperlink ref="B111" r:id="rId34"/>
    <hyperlink ref="B110:F110" r:id="rId35" display="Vietnam Investment Consulting and Construction Designing JSC "/>
    <hyperlink ref="B105" r:id="rId36"/>
    <hyperlink ref="B106" r:id="rId37"/>
  </hyperlinks>
  <pageMargins left="0.7" right="0.7" top="0.75" bottom="0.75" header="0.3" footer="0.3"/>
  <drawing r:id="rId3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43634"/>
  </sheetPr>
  <dimension ref="A1:R69"/>
  <sheetViews>
    <sheetView showGridLines="0" showRowColHeaders="0" zoomScale="90" zoomScaleNormal="90" workbookViewId="0">
      <selection activeCell="E16" sqref="E16:F16"/>
    </sheetView>
  </sheetViews>
  <sheetFormatPr defaultColWidth="0" defaultRowHeight="0" customHeight="1" zeroHeight="1" x14ac:dyDescent="0.25"/>
  <cols>
    <col min="1" max="1" width="5.7109375" customWidth="1"/>
    <col min="2" max="2" width="31.7109375" customWidth="1"/>
    <col min="3" max="3" width="3.7109375" customWidth="1"/>
    <col min="4" max="4" width="11.140625" customWidth="1"/>
    <col min="5" max="5" width="20.5703125" customWidth="1"/>
    <col min="6" max="6" width="23" customWidth="1"/>
    <col min="7" max="8" width="19.7109375" customWidth="1"/>
    <col min="9" max="9" width="10.42578125" customWidth="1"/>
    <col min="10" max="10" width="8" customWidth="1"/>
    <col min="11" max="11" width="5.5703125" customWidth="1"/>
    <col min="12" max="12" width="5" customWidth="1"/>
    <col min="13" max="18" width="0" hidden="1" customWidth="1"/>
    <col min="19" max="16384" width="9.140625" hidden="1"/>
  </cols>
  <sheetData>
    <row r="1" spans="1:12" ht="16.5" customHeight="1" x14ac:dyDescent="0.25">
      <c r="A1" s="261"/>
      <c r="B1" s="2090" t="s">
        <v>3</v>
      </c>
      <c r="C1" s="262"/>
      <c r="D1" s="197"/>
      <c r="E1" s="197"/>
      <c r="F1" s="197"/>
      <c r="G1" s="197"/>
      <c r="H1" s="197"/>
      <c r="I1" s="194"/>
      <c r="J1" s="194"/>
      <c r="K1" s="194"/>
      <c r="L1" s="195"/>
    </row>
    <row r="2" spans="1:12" ht="14.25" customHeight="1" x14ac:dyDescent="0.25">
      <c r="A2" s="263"/>
      <c r="B2" s="2091"/>
      <c r="C2" s="264"/>
      <c r="D2" s="197"/>
      <c r="E2" s="197"/>
      <c r="F2" s="197"/>
      <c r="G2" s="197"/>
      <c r="H2" s="197"/>
      <c r="I2" s="197"/>
      <c r="J2" s="197"/>
      <c r="K2" s="197"/>
      <c r="L2" s="198"/>
    </row>
    <row r="3" spans="1:12" ht="15.75" customHeight="1" x14ac:dyDescent="0.25">
      <c r="A3" s="263"/>
      <c r="B3" s="2091"/>
      <c r="C3" s="265"/>
      <c r="D3" s="196"/>
      <c r="E3" s="2085" t="s">
        <v>369</v>
      </c>
      <c r="F3" s="2086"/>
      <c r="G3" s="2083" t="s">
        <v>360</v>
      </c>
      <c r="H3" s="197"/>
      <c r="I3" s="197"/>
      <c r="J3" s="197"/>
      <c r="K3" s="197"/>
      <c r="L3" s="198"/>
    </row>
    <row r="4" spans="1:12" ht="15.75" customHeight="1" x14ac:dyDescent="0.25">
      <c r="A4" s="263"/>
      <c r="B4" s="2091"/>
      <c r="C4" s="266"/>
      <c r="D4" s="196"/>
      <c r="E4" s="2087"/>
      <c r="F4" s="2088"/>
      <c r="G4" s="2083"/>
      <c r="H4" s="197"/>
      <c r="I4" s="197"/>
      <c r="J4" s="197"/>
      <c r="K4" s="197"/>
      <c r="L4" s="198"/>
    </row>
    <row r="5" spans="1:12" ht="21.75" customHeight="1" x14ac:dyDescent="0.25">
      <c r="A5" s="263"/>
      <c r="B5" s="2091"/>
      <c r="C5" s="266"/>
      <c r="D5" s="196"/>
      <c r="E5" s="2084" t="s">
        <v>457</v>
      </c>
      <c r="F5" s="2084"/>
      <c r="G5" s="648" t="str">
        <f>'H-PR-1 Indoor Smoking'!F12</f>
        <v>No</v>
      </c>
      <c r="H5" s="197"/>
      <c r="I5" s="197"/>
      <c r="J5" s="197"/>
      <c r="K5" s="197"/>
      <c r="L5" s="198"/>
    </row>
    <row r="6" spans="1:12" ht="19.5" customHeight="1" x14ac:dyDescent="0.25">
      <c r="A6" s="263"/>
      <c r="B6" s="1022"/>
      <c r="C6" s="266"/>
      <c r="D6" s="196"/>
      <c r="E6" s="197"/>
      <c r="F6" s="197"/>
      <c r="G6" s="197"/>
      <c r="H6" s="197"/>
      <c r="I6" s="197"/>
      <c r="J6" s="197"/>
      <c r="K6" s="197"/>
      <c r="L6" s="198"/>
    </row>
    <row r="7" spans="1:12" ht="15.75" customHeight="1" x14ac:dyDescent="0.25">
      <c r="A7" s="263"/>
      <c r="B7" s="1022"/>
      <c r="C7" s="266"/>
      <c r="D7" s="196"/>
      <c r="E7" s="2085" t="s">
        <v>136</v>
      </c>
      <c r="F7" s="2086"/>
      <c r="G7" s="2083" t="s">
        <v>137</v>
      </c>
      <c r="H7" s="2083" t="s">
        <v>19</v>
      </c>
      <c r="I7" s="197"/>
      <c r="J7" s="197"/>
      <c r="K7" s="197"/>
      <c r="L7" s="198"/>
    </row>
    <row r="8" spans="1:12" ht="15.75" customHeight="1" x14ac:dyDescent="0.25">
      <c r="A8" s="267"/>
      <c r="B8" s="1022"/>
      <c r="C8" s="266"/>
      <c r="D8" s="196"/>
      <c r="E8" s="2087"/>
      <c r="F8" s="2088"/>
      <c r="G8" s="2083"/>
      <c r="H8" s="2083"/>
      <c r="I8" s="197"/>
      <c r="J8" s="197"/>
      <c r="K8" s="197"/>
      <c r="L8" s="198"/>
    </row>
    <row r="9" spans="1:12" ht="21" customHeight="1" x14ac:dyDescent="0.25">
      <c r="A9" s="267"/>
      <c r="B9" s="2089" t="s">
        <v>1804</v>
      </c>
      <c r="C9" s="266"/>
      <c r="D9" s="196"/>
      <c r="E9" s="2084" t="s">
        <v>4</v>
      </c>
      <c r="F9" s="2084"/>
      <c r="G9" s="104">
        <v>2</v>
      </c>
      <c r="H9" s="104">
        <f>'H-1 Fresh Air Supply'!G12</f>
        <v>0</v>
      </c>
      <c r="I9" s="197"/>
      <c r="J9" s="197"/>
      <c r="K9" s="197"/>
      <c r="L9" s="198"/>
    </row>
    <row r="10" spans="1:12" ht="21" customHeight="1" x14ac:dyDescent="0.25">
      <c r="A10" s="267"/>
      <c r="B10" s="2089"/>
      <c r="C10" s="266"/>
      <c r="D10" s="196"/>
      <c r="E10" s="2084" t="s">
        <v>449</v>
      </c>
      <c r="F10" s="2084"/>
      <c r="G10" s="104">
        <v>1</v>
      </c>
      <c r="H10" s="104">
        <f>'H-2 CO2 Monitoring'!G12</f>
        <v>0</v>
      </c>
      <c r="I10" s="197"/>
      <c r="J10" s="197"/>
      <c r="K10" s="197"/>
      <c r="L10" s="198"/>
    </row>
    <row r="11" spans="1:12" ht="21" customHeight="1" x14ac:dyDescent="0.25">
      <c r="A11" s="267"/>
      <c r="B11" s="2089"/>
      <c r="C11" s="266"/>
      <c r="D11" s="196"/>
      <c r="E11" s="2084" t="s">
        <v>2362</v>
      </c>
      <c r="F11" s="2084"/>
      <c r="G11" s="104">
        <v>4</v>
      </c>
      <c r="H11" s="104">
        <f>'H-3 Low-VOC Emissions '!G17</f>
        <v>0</v>
      </c>
      <c r="I11" s="197"/>
      <c r="J11" s="197"/>
      <c r="K11" s="197"/>
      <c r="L11" s="198"/>
    </row>
    <row r="12" spans="1:12" ht="21" customHeight="1" x14ac:dyDescent="0.25">
      <c r="A12" s="267"/>
      <c r="B12" s="2089"/>
      <c r="C12" s="266"/>
      <c r="D12" s="196"/>
      <c r="E12" s="2084" t="s">
        <v>456</v>
      </c>
      <c r="F12" s="2084"/>
      <c r="G12" s="104">
        <v>1</v>
      </c>
      <c r="H12" s="104">
        <f>'H-4 Removal of pollutants'!N15</f>
        <v>0</v>
      </c>
      <c r="I12" s="197"/>
      <c r="J12" s="197"/>
      <c r="K12" s="197"/>
      <c r="L12" s="198"/>
    </row>
    <row r="13" spans="1:12" ht="21" customHeight="1" x14ac:dyDescent="0.25">
      <c r="A13" s="267"/>
      <c r="B13" s="2089"/>
      <c r="C13" s="266"/>
      <c r="D13" s="196"/>
      <c r="E13" s="2084" t="s">
        <v>455</v>
      </c>
      <c r="F13" s="2084"/>
      <c r="G13" s="104">
        <v>1</v>
      </c>
      <c r="H13" s="104">
        <f>'H-5 Interior Plants'!G12</f>
        <v>0</v>
      </c>
      <c r="I13" s="197"/>
      <c r="J13" s="197"/>
      <c r="K13" s="197"/>
      <c r="L13" s="198"/>
    </row>
    <row r="14" spans="1:12" ht="21" customHeight="1" x14ac:dyDescent="0.25">
      <c r="A14" s="267"/>
      <c r="B14" s="2089"/>
      <c r="C14" s="266"/>
      <c r="D14" s="196"/>
      <c r="E14" s="2084" t="s">
        <v>482</v>
      </c>
      <c r="F14" s="2084"/>
      <c r="G14" s="104">
        <v>1</v>
      </c>
      <c r="H14" s="104">
        <f>'H-6 Green Cleaning'!G12</f>
        <v>0</v>
      </c>
      <c r="I14" s="197"/>
      <c r="J14" s="197"/>
      <c r="K14" s="197"/>
      <c r="L14" s="198"/>
    </row>
    <row r="15" spans="1:12" ht="21" customHeight="1" x14ac:dyDescent="0.25">
      <c r="A15" s="267"/>
      <c r="B15" s="2089"/>
      <c r="C15" s="266"/>
      <c r="D15" s="196"/>
      <c r="E15" s="2084" t="s">
        <v>450</v>
      </c>
      <c r="F15" s="2084"/>
      <c r="G15" s="104">
        <v>2</v>
      </c>
      <c r="H15" s="104">
        <f>'H-7 Daylighting'!K12</f>
        <v>0</v>
      </c>
      <c r="I15" s="197"/>
      <c r="J15" s="197"/>
      <c r="K15" s="197"/>
      <c r="L15" s="198"/>
    </row>
    <row r="16" spans="1:12" ht="21" customHeight="1" x14ac:dyDescent="0.25">
      <c r="A16" s="267"/>
      <c r="B16" s="2089"/>
      <c r="C16" s="266"/>
      <c r="D16" s="196"/>
      <c r="E16" s="2084" t="s">
        <v>454</v>
      </c>
      <c r="F16" s="2084"/>
      <c r="G16" s="104">
        <v>2</v>
      </c>
      <c r="H16" s="104">
        <f>'H-8 External Views'!H14</f>
        <v>0</v>
      </c>
      <c r="I16" s="197"/>
      <c r="J16" s="197"/>
      <c r="K16" s="197"/>
      <c r="L16" s="197"/>
    </row>
    <row r="17" spans="1:12" ht="21" customHeight="1" x14ac:dyDescent="0.25">
      <c r="A17" s="267"/>
      <c r="B17" s="1022"/>
      <c r="C17" s="266"/>
      <c r="D17" s="196"/>
      <c r="E17" s="2084" t="s">
        <v>453</v>
      </c>
      <c r="F17" s="2084"/>
      <c r="G17" s="104">
        <v>2</v>
      </c>
      <c r="H17" s="104">
        <f>'H-9 Lighting Comfort'!G12</f>
        <v>0</v>
      </c>
      <c r="I17" s="197"/>
      <c r="J17" s="197"/>
      <c r="K17" s="197"/>
      <c r="L17" s="197"/>
    </row>
    <row r="18" spans="1:12" ht="21" customHeight="1" x14ac:dyDescent="0.25">
      <c r="A18" s="267"/>
      <c r="B18" s="1022"/>
      <c r="C18" s="266"/>
      <c r="D18" s="196"/>
      <c r="E18" s="2084" t="s">
        <v>508</v>
      </c>
      <c r="F18" s="2084"/>
      <c r="G18" s="104">
        <v>2</v>
      </c>
      <c r="H18" s="104">
        <f>'H-10 Thermal Comfort'!G15</f>
        <v>0</v>
      </c>
      <c r="I18" s="197"/>
      <c r="J18" s="197"/>
      <c r="K18" s="197"/>
      <c r="L18" s="197"/>
    </row>
    <row r="19" spans="1:12" ht="21" customHeight="1" x14ac:dyDescent="0.25">
      <c r="A19" s="267"/>
      <c r="B19" s="1022"/>
      <c r="C19" s="266"/>
      <c r="D19" s="196"/>
      <c r="E19" s="2084" t="s">
        <v>451</v>
      </c>
      <c r="F19" s="2084"/>
      <c r="G19" s="104">
        <v>1</v>
      </c>
      <c r="H19" s="104">
        <f>'H-11 Acoustic Comfort'!N15</f>
        <v>0</v>
      </c>
      <c r="I19" s="197"/>
      <c r="J19" s="197"/>
      <c r="K19" s="197"/>
      <c r="L19" s="197"/>
    </row>
    <row r="20" spans="1:12" ht="21" customHeight="1" x14ac:dyDescent="0.25">
      <c r="A20" s="267"/>
      <c r="B20" s="1022"/>
      <c r="C20" s="266"/>
      <c r="D20" s="196"/>
      <c r="E20" s="2084" t="s">
        <v>452</v>
      </c>
      <c r="F20" s="2084"/>
      <c r="G20" s="104">
        <v>1</v>
      </c>
      <c r="H20" s="104">
        <f>'H-12 Post-occupancy Comfort'!G12</f>
        <v>0</v>
      </c>
      <c r="I20" s="197"/>
      <c r="J20" s="197"/>
      <c r="K20" s="197"/>
      <c r="L20" s="197"/>
    </row>
    <row r="21" spans="1:12" ht="24" customHeight="1" x14ac:dyDescent="0.25">
      <c r="A21" s="267"/>
      <c r="B21" s="270"/>
      <c r="C21" s="266"/>
      <c r="D21" s="196"/>
      <c r="E21" s="88" t="s">
        <v>29</v>
      </c>
      <c r="F21" s="89"/>
      <c r="G21" s="90">
        <f>SUM(G9:G20)</f>
        <v>20</v>
      </c>
      <c r="H21" s="90">
        <f>SUM(H9:H20)</f>
        <v>0</v>
      </c>
      <c r="I21" s="197"/>
      <c r="J21" s="197"/>
      <c r="K21" s="197"/>
      <c r="L21" s="197"/>
    </row>
    <row r="22" spans="1:12" ht="18.75" customHeight="1" x14ac:dyDescent="0.25">
      <c r="A22" s="267"/>
      <c r="B22" s="270"/>
      <c r="C22" s="266"/>
      <c r="D22" s="196"/>
      <c r="E22" s="196"/>
      <c r="F22" s="196"/>
      <c r="G22" s="196"/>
      <c r="H22" s="196"/>
      <c r="I22" s="196"/>
      <c r="J22" s="197"/>
      <c r="K22" s="197"/>
      <c r="L22" s="197"/>
    </row>
    <row r="23" spans="1:12" ht="15" hidden="1" customHeight="1" x14ac:dyDescent="0.25">
      <c r="A23" s="268"/>
      <c r="B23" s="271"/>
      <c r="C23" s="269"/>
      <c r="D23" s="196"/>
      <c r="E23" s="197"/>
      <c r="F23" s="197"/>
      <c r="G23" s="197"/>
      <c r="H23" s="197"/>
      <c r="I23" s="197"/>
      <c r="J23" s="197"/>
      <c r="K23" s="197"/>
      <c r="L23" s="197"/>
    </row>
    <row r="24" spans="1:12" ht="15" hidden="1" customHeight="1" x14ac:dyDescent="0.25">
      <c r="A24" s="267"/>
      <c r="B24" s="270"/>
      <c r="C24" s="266"/>
      <c r="D24" s="196"/>
      <c r="E24" s="197"/>
      <c r="F24" s="197"/>
      <c r="G24" s="197"/>
      <c r="H24" s="197"/>
      <c r="I24" s="197"/>
      <c r="J24" s="1"/>
      <c r="K24" s="1"/>
      <c r="L24" s="1"/>
    </row>
    <row r="25" spans="1:12" ht="15" hidden="1" customHeight="1" x14ac:dyDescent="0.25">
      <c r="A25" s="267"/>
      <c r="B25" s="270"/>
      <c r="C25" s="266"/>
      <c r="D25" s="196"/>
      <c r="E25" s="197"/>
      <c r="F25" s="197"/>
      <c r="G25" s="197"/>
      <c r="H25" s="197"/>
      <c r="I25" s="197"/>
      <c r="J25" s="1"/>
      <c r="K25" s="1"/>
      <c r="L25" s="1"/>
    </row>
    <row r="26" spans="1:12" ht="15" hidden="1" customHeight="1" x14ac:dyDescent="0.25">
      <c r="A26" s="267"/>
      <c r="B26" s="270"/>
      <c r="C26" s="266"/>
      <c r="D26" s="1"/>
      <c r="E26" s="197"/>
      <c r="F26" s="197"/>
      <c r="G26" s="197"/>
      <c r="H26" s="197"/>
      <c r="I26" s="1"/>
      <c r="J26" s="1"/>
      <c r="K26" s="1"/>
      <c r="L26" s="1"/>
    </row>
    <row r="27" spans="1:12" ht="15" hidden="1" customHeight="1" x14ac:dyDescent="0.25">
      <c r="A27" s="268"/>
      <c r="B27" s="271"/>
      <c r="C27" s="269"/>
      <c r="D27" s="1"/>
      <c r="E27" s="200"/>
      <c r="F27" s="200"/>
      <c r="G27" s="200"/>
      <c r="H27" s="200"/>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A47" s="1"/>
      <c r="B47" s="2"/>
      <c r="C47" s="2"/>
      <c r="D47" s="1"/>
      <c r="E47" s="1"/>
      <c r="F47" s="1"/>
      <c r="G47" s="1"/>
      <c r="H47" s="1"/>
      <c r="I47" s="1"/>
      <c r="J47" s="1"/>
      <c r="K47" s="1"/>
      <c r="L47" s="1"/>
    </row>
    <row r="48" spans="1:12" ht="15" hidden="1" customHeight="1" x14ac:dyDescent="0.25">
      <c r="A48" s="1"/>
      <c r="B48" s="2"/>
      <c r="C48" s="2"/>
      <c r="D48" s="1"/>
      <c r="E48" s="1"/>
      <c r="F48" s="1"/>
      <c r="G48" s="1"/>
      <c r="H48" s="1"/>
      <c r="I48" s="1"/>
      <c r="J48" s="1"/>
      <c r="K48" s="1"/>
      <c r="L48" s="1"/>
    </row>
    <row r="49" spans="1:12" ht="15" hidden="1" customHeight="1" x14ac:dyDescent="0.25">
      <c r="A49" s="1"/>
      <c r="B49" s="2"/>
      <c r="C49" s="2"/>
      <c r="D49" s="1"/>
      <c r="E49" s="1"/>
      <c r="F49" s="1"/>
      <c r="G49" s="1"/>
      <c r="H49" s="1"/>
      <c r="I49" s="1"/>
      <c r="J49" s="1"/>
      <c r="K49" s="1"/>
      <c r="L49" s="1"/>
    </row>
    <row r="50" spans="1:12" ht="15" hidden="1" customHeight="1" x14ac:dyDescent="0.25">
      <c r="A50" s="1"/>
      <c r="B50" s="2"/>
      <c r="C50" s="2"/>
      <c r="D50" s="1"/>
      <c r="E50" s="1"/>
      <c r="F50" s="1"/>
      <c r="G50" s="1"/>
      <c r="H50" s="1"/>
      <c r="I50" s="1"/>
      <c r="J50" s="1"/>
      <c r="K50" s="1"/>
      <c r="L50" s="1"/>
    </row>
    <row r="51" spans="1:12" ht="15" hidden="1" customHeight="1" x14ac:dyDescent="0.25">
      <c r="A51" s="1"/>
      <c r="B51" s="2"/>
      <c r="C51" s="2"/>
      <c r="D51" s="1"/>
      <c r="E51" s="1"/>
      <c r="F51" s="1"/>
      <c r="G51" s="1"/>
      <c r="H51" s="1"/>
      <c r="I51" s="1"/>
      <c r="J51" s="1"/>
      <c r="K51" s="1"/>
      <c r="L51" s="1"/>
    </row>
    <row r="52" spans="1:12" ht="15" hidden="1" customHeight="1" x14ac:dyDescent="0.25">
      <c r="A52" s="1"/>
      <c r="B52" s="2"/>
      <c r="C52" s="2"/>
      <c r="D52" s="1"/>
      <c r="E52" s="1"/>
      <c r="F52" s="1"/>
      <c r="G52" s="1"/>
      <c r="H52" s="1"/>
      <c r="I52" s="1"/>
      <c r="J52" s="1"/>
      <c r="K52" s="1"/>
      <c r="L52" s="1"/>
    </row>
    <row r="53" spans="1:12" ht="15" hidden="1" customHeight="1" x14ac:dyDescent="0.25">
      <c r="A53" s="1"/>
      <c r="B53" s="2"/>
      <c r="C53" s="2"/>
      <c r="D53" s="1"/>
      <c r="E53" s="1"/>
      <c r="F53" s="1"/>
      <c r="G53" s="1"/>
      <c r="H53" s="1"/>
      <c r="I53" s="1"/>
      <c r="J53" s="1"/>
      <c r="K53" s="1"/>
      <c r="L53" s="1"/>
    </row>
    <row r="54" spans="1:12" ht="15" hidden="1" customHeight="1" x14ac:dyDescent="0.25">
      <c r="D54" s="1"/>
      <c r="E54" s="1"/>
      <c r="F54" s="1"/>
      <c r="G54" s="1"/>
      <c r="H54" s="1"/>
      <c r="I54" s="1"/>
    </row>
    <row r="55" spans="1:12" ht="15" hidden="1" customHeight="1" x14ac:dyDescent="0.25">
      <c r="D55" s="1"/>
      <c r="E55" s="1"/>
      <c r="F55" s="1"/>
      <c r="G55" s="1"/>
      <c r="H55" s="1"/>
      <c r="I55" s="1"/>
    </row>
    <row r="56" spans="1:12" ht="15" hidden="1" customHeight="1" x14ac:dyDescent="0.25">
      <c r="D56" s="1"/>
      <c r="E56" s="1"/>
      <c r="F56" s="1"/>
      <c r="G56" s="1"/>
      <c r="H56" s="1"/>
      <c r="I56" s="1"/>
    </row>
    <row r="57" spans="1:12" ht="15" hidden="1" customHeight="1" x14ac:dyDescent="0.25">
      <c r="D57" s="1"/>
      <c r="E57" s="1"/>
      <c r="F57" s="1"/>
      <c r="G57" s="1"/>
      <c r="H57" s="1"/>
    </row>
    <row r="58" spans="1:12" ht="15" hidden="1" customHeight="1" x14ac:dyDescent="0.25">
      <c r="D58" s="1"/>
      <c r="E58" s="1"/>
      <c r="F58" s="1"/>
      <c r="G58" s="1"/>
      <c r="H58" s="1"/>
    </row>
    <row r="59" spans="1:12" ht="15" hidden="1" customHeight="1" x14ac:dyDescent="0.25">
      <c r="D59" s="1"/>
    </row>
    <row r="60" spans="1:12" ht="15" hidden="1" customHeight="1" x14ac:dyDescent="0.25"/>
    <row r="61" spans="1:12" ht="15" hidden="1" customHeight="1" x14ac:dyDescent="0.25"/>
    <row r="62" spans="1:12" ht="15" hidden="1" customHeight="1" x14ac:dyDescent="0.25"/>
    <row r="63" spans="1:12" ht="15" hidden="1" customHeight="1" x14ac:dyDescent="0.25"/>
    <row r="64" spans="1:12" ht="15" hidden="1" customHeight="1" x14ac:dyDescent="0.25"/>
    <row r="65" ht="0" hidden="1" customHeight="1" x14ac:dyDescent="0.25"/>
    <row r="66" ht="0" hidden="1" customHeight="1" x14ac:dyDescent="0.25"/>
    <row r="67" ht="0" hidden="1" customHeight="1" x14ac:dyDescent="0.25"/>
    <row r="68" ht="0" hidden="1" customHeight="1" x14ac:dyDescent="0.25"/>
    <row r="69" ht="0" hidden="1" customHeight="1" x14ac:dyDescent="0.25"/>
  </sheetData>
  <sheetProtection algorithmName="SHA-512" hashValue="+En3zR0CvUS0bOTSJ2W8mk6jLQNuXuPnU5b/Hhk/uGCHze89pLkFKR8KLeZiOoI+yZ+f4vmM/ZvqN/XXQmIxzw==" saltValue="5D3/C2+i63zrinuCz77YAA==" spinCount="100000" sheet="1" objects="1" scenarios="1"/>
  <mergeCells count="20">
    <mergeCell ref="E3:F4"/>
    <mergeCell ref="G3:G4"/>
    <mergeCell ref="E5:F5"/>
    <mergeCell ref="B9:B16"/>
    <mergeCell ref="B1:B5"/>
    <mergeCell ref="E17:F17"/>
    <mergeCell ref="E7:F8"/>
    <mergeCell ref="G7:G8"/>
    <mergeCell ref="E13:F13"/>
    <mergeCell ref="E20:F20"/>
    <mergeCell ref="E14:F14"/>
    <mergeCell ref="E15:F15"/>
    <mergeCell ref="E18:F18"/>
    <mergeCell ref="E19:F19"/>
    <mergeCell ref="E16:F16"/>
    <mergeCell ref="H7:H8"/>
    <mergeCell ref="E9:F9"/>
    <mergeCell ref="E10:F10"/>
    <mergeCell ref="E11:F11"/>
    <mergeCell ref="E12:F12"/>
  </mergeCells>
  <hyperlinks>
    <hyperlink ref="E9" location="'H-1 Fresh Air Supply'!A1" tooltip="H-1 Fresh Air Supply" display="H-1 Fresh Air Supply"/>
    <hyperlink ref="E10" location="'H-2 Ventilation in wet areas'!A1" tooltip="H-2 Ventilation in Wet Areas" display="H-2 Ventilation in Wet Areas"/>
    <hyperlink ref="E11" location="'H-3 Hazardous Materials'!A1" tooltip="H-3 Hazardous Materials" display="H-3 Hazardous Materials"/>
    <hyperlink ref="E12" location="'H-4 Daylighting'!A1" tooltip="H-4 Daylighting" display="H-4 Daylighting"/>
    <hyperlink ref="E13:F13" location="'H-5 Interior Plants'!B3" tooltip="H-5 Interior Plants" display="H-5 Interior Plants"/>
    <hyperlink ref="E20:F20" location="'H-12 Post-occupancy Comfort'!B3" tooltip="H-12 Post-occupancy comfort" display="H-12 Post-occupancy comfort"/>
    <hyperlink ref="E14:F14" location="'H-6 Green Cleaning'!B3" tooltip="H-6 Green Cleaning" display="H-6 Green Cleaning"/>
    <hyperlink ref="E18:F18" location="'H-10 Thermal Comfort'!B3" tooltip="H-10 Thermal Comfort" display="H-10 Thermal Comfort"/>
    <hyperlink ref="E19:F19" location="'H-11 Acoustic Comfort'!B3" tooltip="H-11 Acoustic Comfort" display="H-11 Acoustic Comfort"/>
    <hyperlink ref="E15" location="'H-4 Daylighting'!A1" tooltip="H-4 Daylighting" display="H-4 Daylighting"/>
    <hyperlink ref="E16" location="'H-4 Daylighting'!A1" tooltip="H-4 Daylighting" display="H-4 Daylighting"/>
    <hyperlink ref="E17" location="'H-4 Daylighting'!A1" tooltip="H-4 Daylighting" display="H-4 Daylighting"/>
    <hyperlink ref="E5:F5" location="'H-PR-1 Indoor Smoking'!B3" tooltip="H-PR-1 Indoor Smoking" display="H-PR-1 Indoor Smoking"/>
    <hyperlink ref="E9:F9" location="'H-1 Fresh Air Supply'!B3" tooltip="H-1 Fresh Air Supply" display="H-1 Fresh Air Supply"/>
    <hyperlink ref="E10:F10" location="'H-2 CO2 Monitoring'!B3" tooltip="H-2 CO2 monitoring" display="H-2 CO2 monitoring"/>
    <hyperlink ref="E11:F11" location="'H-3 Low-VOC Emissions '!B3" tooltip="H-3 Low-VOC Emissions" display="H-3 Low-VOC Emissions"/>
    <hyperlink ref="E12:F12" location="'H-4 Removal of pollutants'!B3" tooltip="H-4 Pre-occupancy removal of pollutants" display="H-4 Pre-occupancy removal of pollutants"/>
    <hyperlink ref="E17:F17" location="'H-9 Lighting Comfort'!B3" tooltip="H-9 Lighting comfort" display="H-9 Lighting comfort"/>
    <hyperlink ref="E15:F15" location="'H-7 Daylighting'!B3" tooltip="H-7 Daylighting" display="H-7 Daylighting"/>
    <hyperlink ref="E16:F16" location="'H-8 External Views'!B3" tooltip="H-4 Daylighting" display="H-8 External Views"/>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43634"/>
  </sheetPr>
  <dimension ref="A1:O124"/>
  <sheetViews>
    <sheetView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5.85546875" style="37" customWidth="1"/>
    <col min="2" max="3" width="20.85546875" style="37" customWidth="1"/>
    <col min="4" max="4" width="21.5703125" style="37" customWidth="1"/>
    <col min="5" max="5" width="20.85546875" style="37" customWidth="1"/>
    <col min="6" max="6" width="18.42578125" style="37" customWidth="1"/>
    <col min="7" max="7" width="19.42578125" style="37" customWidth="1"/>
    <col min="8" max="8" width="19.7109375" style="37" customWidth="1"/>
    <col min="9" max="9" width="10.7109375" style="37" customWidth="1"/>
    <col min="10" max="13" width="8.42578125" style="37" customWidth="1"/>
    <col min="14" max="15" width="0" style="37" hidden="1" customWidth="1"/>
    <col min="16" max="16384" width="9.140625" style="37" hidden="1"/>
  </cols>
  <sheetData>
    <row r="1" spans="1:13" ht="23.25" x14ac:dyDescent="0.25">
      <c r="A1" s="362" t="s">
        <v>457</v>
      </c>
      <c r="B1" s="140"/>
      <c r="C1" s="140"/>
      <c r="D1" s="140"/>
      <c r="E1" s="140"/>
      <c r="F1" s="140"/>
      <c r="G1" s="47"/>
      <c r="H1" s="47"/>
      <c r="I1" s="47"/>
      <c r="J1" s="47"/>
      <c r="K1" s="47"/>
      <c r="L1" s="47"/>
      <c r="M1" s="47"/>
    </row>
    <row r="2" spans="1:13" ht="15" customHeight="1" x14ac:dyDescent="0.25">
      <c r="A2" s="48"/>
      <c r="B2" s="49"/>
      <c r="C2" s="49"/>
      <c r="D2" s="49"/>
      <c r="E2" s="49"/>
      <c r="F2" s="48"/>
      <c r="G2" s="48"/>
      <c r="H2" s="1694" t="s">
        <v>1702</v>
      </c>
      <c r="I2" s="1694"/>
      <c r="J2" s="752" t="s">
        <v>30</v>
      </c>
      <c r="K2" s="752" t="s">
        <v>37</v>
      </c>
      <c r="L2" s="752" t="s">
        <v>314</v>
      </c>
      <c r="M2" s="752" t="s">
        <v>317</v>
      </c>
    </row>
    <row r="3" spans="1:13" ht="15" customHeight="1" x14ac:dyDescent="0.25">
      <c r="A3" s="48"/>
      <c r="B3" s="49"/>
      <c r="C3" s="49"/>
      <c r="D3" s="49"/>
      <c r="E3" s="49"/>
      <c r="F3" s="48"/>
      <c r="G3" s="48"/>
      <c r="H3" s="1694"/>
      <c r="I3" s="1694"/>
      <c r="J3" s="752" t="s">
        <v>32</v>
      </c>
      <c r="K3" s="752" t="s">
        <v>248</v>
      </c>
      <c r="L3" s="752" t="s">
        <v>315</v>
      </c>
      <c r="M3" s="752" t="s">
        <v>318</v>
      </c>
    </row>
    <row r="4" spans="1:13" ht="15" customHeight="1" x14ac:dyDescent="0.25">
      <c r="A4" s="48"/>
      <c r="B4" s="49"/>
      <c r="C4" s="49"/>
      <c r="D4" s="49"/>
      <c r="E4" s="49"/>
      <c r="F4" s="48"/>
      <c r="G4" s="48"/>
      <c r="H4" s="1695"/>
      <c r="I4" s="1695"/>
      <c r="J4" s="752" t="s">
        <v>35</v>
      </c>
      <c r="K4" s="752" t="s">
        <v>313</v>
      </c>
      <c r="L4" s="752" t="s">
        <v>316</v>
      </c>
      <c r="M4" s="752" t="s">
        <v>319</v>
      </c>
    </row>
    <row r="5" spans="1:13" ht="18" customHeight="1" x14ac:dyDescent="0.25">
      <c r="A5" s="1704" t="s">
        <v>2831</v>
      </c>
      <c r="B5" s="1705"/>
      <c r="C5" s="1705"/>
      <c r="D5" s="1705"/>
      <c r="E5" s="1705"/>
      <c r="F5" s="1705"/>
      <c r="G5" s="1705"/>
      <c r="H5" s="1705"/>
      <c r="I5" s="1705"/>
      <c r="J5" s="1705"/>
      <c r="K5" s="1705"/>
      <c r="L5" s="1705"/>
      <c r="M5" s="1706"/>
    </row>
    <row r="6" spans="1:13" ht="18" customHeight="1" x14ac:dyDescent="0.25">
      <c r="A6" s="1707"/>
      <c r="B6" s="1708"/>
      <c r="C6" s="1708"/>
      <c r="D6" s="1708"/>
      <c r="E6" s="1708"/>
      <c r="F6" s="1708"/>
      <c r="G6" s="1708"/>
      <c r="H6" s="1708"/>
      <c r="I6" s="1708"/>
      <c r="J6" s="1708"/>
      <c r="K6" s="1708"/>
      <c r="L6" s="1708"/>
      <c r="M6" s="1709"/>
    </row>
    <row r="7" spans="1:13" ht="18" customHeight="1" x14ac:dyDescent="0.25">
      <c r="A7" s="1710"/>
      <c r="B7" s="1711"/>
      <c r="C7" s="1711"/>
      <c r="D7" s="1711"/>
      <c r="E7" s="1711"/>
      <c r="F7" s="1711"/>
      <c r="G7" s="1711"/>
      <c r="H7" s="1711"/>
      <c r="I7" s="1711"/>
      <c r="J7" s="1711"/>
      <c r="K7" s="1711"/>
      <c r="L7" s="1711"/>
      <c r="M7" s="1712"/>
    </row>
    <row r="8" spans="1:13" ht="12" customHeight="1" x14ac:dyDescent="0.25">
      <c r="A8" s="48"/>
      <c r="B8" s="49"/>
      <c r="C8" s="49"/>
      <c r="D8" s="49"/>
      <c r="E8" s="49"/>
      <c r="F8" s="48"/>
      <c r="G8" s="48"/>
      <c r="H8" s="48"/>
      <c r="I8" s="48"/>
      <c r="J8" s="48"/>
      <c r="K8" s="48"/>
      <c r="L8" s="48"/>
      <c r="M8" s="48"/>
    </row>
    <row r="9" spans="1:13" ht="18" customHeight="1" x14ac:dyDescent="0.25">
      <c r="A9" s="2092" t="s">
        <v>458</v>
      </c>
      <c r="B9" s="2092"/>
      <c r="C9" s="2092"/>
      <c r="D9" s="2092"/>
      <c r="E9" s="2092"/>
      <c r="F9" s="2092"/>
      <c r="G9" s="2092"/>
      <c r="H9" s="2092"/>
      <c r="I9" s="2092"/>
      <c r="J9" s="2092"/>
      <c r="K9" s="2092"/>
      <c r="L9" s="2092"/>
      <c r="M9" s="2092"/>
    </row>
    <row r="10" spans="1:13" x14ac:dyDescent="0.25">
      <c r="A10" s="48"/>
      <c r="B10" s="49"/>
      <c r="C10" s="49"/>
      <c r="D10" s="49"/>
      <c r="E10" s="49"/>
      <c r="F10" s="48"/>
      <c r="G10" s="48"/>
      <c r="H10" s="48"/>
      <c r="I10" s="48"/>
      <c r="J10" s="48"/>
      <c r="K10" s="48"/>
      <c r="L10" s="48"/>
      <c r="M10" s="48"/>
    </row>
    <row r="11" spans="1:13" ht="21" customHeight="1" x14ac:dyDescent="0.25">
      <c r="A11" s="48"/>
      <c r="B11" s="2097" t="s">
        <v>359</v>
      </c>
      <c r="C11" s="2098"/>
      <c r="D11" s="2098"/>
      <c r="E11" s="2098"/>
      <c r="F11" s="677" t="s">
        <v>360</v>
      </c>
      <c r="G11" s="50" t="s">
        <v>151</v>
      </c>
      <c r="H11" s="48"/>
      <c r="I11" s="48"/>
      <c r="J11" s="48"/>
      <c r="K11" s="48"/>
      <c r="L11" s="48"/>
      <c r="M11" s="48"/>
    </row>
    <row r="12" spans="1:13" ht="21" customHeight="1" x14ac:dyDescent="0.25">
      <c r="A12" s="48"/>
      <c r="B12" s="2099" t="s">
        <v>745</v>
      </c>
      <c r="C12" s="2100"/>
      <c r="D12" s="2100"/>
      <c r="E12" s="2101"/>
      <c r="F12" s="549" t="str">
        <f>C45</f>
        <v>No</v>
      </c>
      <c r="G12" s="548" t="str">
        <f>C46</f>
        <v>No</v>
      </c>
      <c r="H12" s="48"/>
      <c r="I12" s="48"/>
      <c r="J12" s="48"/>
      <c r="K12" s="48"/>
      <c r="L12" s="48"/>
      <c r="M12" s="48"/>
    </row>
    <row r="13" spans="1:13" x14ac:dyDescent="0.25">
      <c r="A13" s="48"/>
      <c r="B13" s="49"/>
      <c r="C13" s="49"/>
      <c r="D13" s="49"/>
      <c r="E13" s="49"/>
      <c r="F13" s="48"/>
      <c r="G13" s="48"/>
      <c r="H13" s="48"/>
      <c r="I13" s="48"/>
      <c r="J13" s="48"/>
      <c r="K13" s="48"/>
      <c r="L13" s="48"/>
      <c r="M13" s="48"/>
    </row>
    <row r="14" spans="1:13" ht="18" customHeight="1" x14ac:dyDescent="0.25">
      <c r="A14" s="2092" t="s">
        <v>117</v>
      </c>
      <c r="B14" s="2092"/>
      <c r="C14" s="2092"/>
      <c r="D14" s="2092"/>
      <c r="E14" s="2092"/>
      <c r="F14" s="2092"/>
      <c r="G14" s="2092"/>
      <c r="H14" s="2092"/>
      <c r="I14" s="2092"/>
      <c r="J14" s="2092"/>
      <c r="K14" s="2092"/>
      <c r="L14" s="2092"/>
      <c r="M14" s="2092"/>
    </row>
    <row r="15" spans="1:13" x14ac:dyDescent="0.25">
      <c r="A15" s="48"/>
      <c r="B15" s="49"/>
      <c r="C15" s="49"/>
      <c r="D15" s="49"/>
      <c r="E15" s="49"/>
      <c r="F15" s="48"/>
      <c r="G15" s="48"/>
      <c r="H15" s="48"/>
      <c r="I15" s="48"/>
      <c r="J15" s="48"/>
      <c r="K15" s="48"/>
      <c r="L15" s="48"/>
      <c r="M15" s="48"/>
    </row>
    <row r="16" spans="1:13" x14ac:dyDescent="0.25">
      <c r="A16" s="48"/>
      <c r="B16" s="708" t="s">
        <v>744</v>
      </c>
      <c r="C16" s="49"/>
      <c r="D16" s="49"/>
      <c r="E16" s="49"/>
      <c r="F16" s="48"/>
      <c r="G16" s="48"/>
      <c r="H16" s="48"/>
      <c r="I16" s="48"/>
      <c r="J16" s="48"/>
      <c r="K16" s="48"/>
      <c r="L16" s="48"/>
      <c r="M16" s="48"/>
    </row>
    <row r="17" spans="1:15" ht="18" customHeight="1" x14ac:dyDescent="0.25">
      <c r="A17" s="48"/>
      <c r="B17" s="121"/>
      <c r="C17" s="49"/>
      <c r="D17" s="49"/>
      <c r="E17" s="49"/>
      <c r="F17" s="48"/>
      <c r="G17" s="48"/>
      <c r="H17" s="48"/>
      <c r="I17" s="48"/>
      <c r="J17" s="48"/>
      <c r="K17" s="48"/>
      <c r="L17" s="48"/>
      <c r="M17" s="48"/>
    </row>
    <row r="18" spans="1:15" x14ac:dyDescent="0.25">
      <c r="A18" s="48"/>
      <c r="B18" s="1165" t="s">
        <v>2189</v>
      </c>
      <c r="C18" s="1166"/>
      <c r="D18" s="1166"/>
      <c r="E18" s="1166"/>
      <c r="F18" s="1166"/>
      <c r="G18" s="1166"/>
      <c r="H18" s="1166"/>
      <c r="I18" s="1166"/>
      <c r="J18" s="1166"/>
      <c r="K18" s="1166"/>
      <c r="L18" s="1167"/>
      <c r="M18" s="48"/>
    </row>
    <row r="19" spans="1:15" x14ac:dyDescent="0.25">
      <c r="A19" s="48"/>
      <c r="B19" s="1170" t="s">
        <v>2188</v>
      </c>
      <c r="C19" s="513"/>
      <c r="D19" s="513"/>
      <c r="E19" s="513"/>
      <c r="F19" s="513"/>
      <c r="G19" s="513"/>
      <c r="H19" s="513"/>
      <c r="I19" s="513"/>
      <c r="J19" s="513"/>
      <c r="K19" s="513"/>
      <c r="L19" s="1171"/>
      <c r="M19" s="48"/>
    </row>
    <row r="20" spans="1:15" x14ac:dyDescent="0.25">
      <c r="A20" s="48"/>
      <c r="B20" s="1172" t="s">
        <v>2190</v>
      </c>
      <c r="C20" s="1168"/>
      <c r="D20" s="1168"/>
      <c r="E20" s="1168"/>
      <c r="F20" s="1168"/>
      <c r="G20" s="1168"/>
      <c r="H20" s="1168"/>
      <c r="I20" s="1168"/>
      <c r="J20" s="1168"/>
      <c r="K20" s="1168"/>
      <c r="L20" s="1169"/>
      <c r="M20" s="48"/>
    </row>
    <row r="21" spans="1:15" ht="18" customHeight="1" x14ac:dyDescent="0.25">
      <c r="A21" s="48"/>
      <c r="B21" s="451"/>
      <c r="C21" s="49"/>
      <c r="D21" s="49"/>
      <c r="E21" s="49"/>
      <c r="F21" s="48"/>
      <c r="G21" s="48"/>
      <c r="H21" s="48"/>
      <c r="I21" s="48"/>
      <c r="J21" s="48"/>
      <c r="K21" s="48"/>
      <c r="L21" s="48"/>
      <c r="M21" s="48"/>
    </row>
    <row r="22" spans="1:15" x14ac:dyDescent="0.25">
      <c r="A22" s="48"/>
      <c r="B22" s="1900" t="s">
        <v>1007</v>
      </c>
      <c r="C22" s="1900"/>
      <c r="D22" s="1900"/>
      <c r="E22" s="1900"/>
      <c r="F22" s="1900"/>
      <c r="G22" s="48"/>
      <c r="H22" s="48"/>
      <c r="I22" s="48"/>
      <c r="J22" s="48"/>
      <c r="K22" s="48"/>
      <c r="L22" s="48"/>
      <c r="M22" s="48"/>
    </row>
    <row r="23" spans="1:15" ht="13.5" customHeight="1" x14ac:dyDescent="0.25">
      <c r="A23" s="48"/>
      <c r="B23" s="629"/>
      <c r="C23" s="629"/>
      <c r="D23" s="629"/>
      <c r="E23" s="629"/>
      <c r="F23" s="629"/>
      <c r="G23" s="48"/>
      <c r="H23" s="48"/>
      <c r="I23" s="48"/>
      <c r="J23" s="48"/>
      <c r="K23" s="48"/>
      <c r="L23" s="48"/>
      <c r="M23" s="48"/>
    </row>
    <row r="24" spans="1:15" ht="18" customHeight="1" x14ac:dyDescent="0.25">
      <c r="A24" s="48"/>
      <c r="B24" s="2074" t="s">
        <v>2366</v>
      </c>
      <c r="C24" s="2074"/>
      <c r="D24" s="2074"/>
      <c r="E24" s="2074"/>
      <c r="F24" s="1251" t="s">
        <v>62</v>
      </c>
      <c r="G24" s="48"/>
      <c r="H24" s="48"/>
      <c r="I24" s="48"/>
      <c r="J24" s="48"/>
      <c r="K24" s="48"/>
      <c r="L24" s="48"/>
      <c r="M24" s="48"/>
    </row>
    <row r="25" spans="1:15" ht="13.5" customHeight="1" x14ac:dyDescent="0.25">
      <c r="A25" s="48"/>
      <c r="B25" s="1252"/>
      <c r="C25" s="1252"/>
      <c r="D25" s="1252"/>
      <c r="E25" s="1252"/>
      <c r="F25" s="1252"/>
      <c r="G25" s="48"/>
      <c r="H25" s="48"/>
      <c r="I25" s="48"/>
      <c r="J25" s="48"/>
      <c r="K25" s="48"/>
      <c r="L25" s="48"/>
      <c r="M25" s="48"/>
    </row>
    <row r="26" spans="1:15" ht="18" customHeight="1" x14ac:dyDescent="0.25">
      <c r="A26" s="48"/>
      <c r="B26" s="2074" t="str">
        <f>IF('Project information'!$C$7="Full Certification stage","• Has information regarding indoor smoking ban been included in the Building User’s Guide (if any)?","• Will information regarding indoor smoking ban be included in the Building User’s Guide (if any)?")</f>
        <v>• Will information regarding indoor smoking ban be included in the Building User’s Guide (if any)?</v>
      </c>
      <c r="C26" s="2074"/>
      <c r="D26" s="2074"/>
      <c r="E26" s="2074"/>
      <c r="F26" s="725" t="s">
        <v>62</v>
      </c>
      <c r="G26" s="48"/>
      <c r="H26" s="48"/>
      <c r="I26" s="48"/>
      <c r="J26" s="48"/>
      <c r="K26" s="48"/>
      <c r="L26" s="48"/>
      <c r="M26" s="48"/>
      <c r="N26" s="57"/>
      <c r="O26" s="57"/>
    </row>
    <row r="27" spans="1:15" ht="18" customHeight="1" x14ac:dyDescent="0.25">
      <c r="A27" s="48"/>
      <c r="B27" s="2074" t="str">
        <f>IF('Project information'!$C$7="Full Certification stage","• Have some “No Smoking” signs been displayed?","• Will some “No Smoking” signs be displayed?")</f>
        <v>• Will some “No Smoking” signs be displayed?</v>
      </c>
      <c r="C27" s="2074"/>
      <c r="D27" s="2074"/>
      <c r="E27" s="2074"/>
      <c r="F27" s="725" t="s">
        <v>62</v>
      </c>
      <c r="G27" s="48"/>
      <c r="H27" s="48"/>
      <c r="I27" s="48"/>
      <c r="J27" s="48"/>
      <c r="K27" s="48"/>
      <c r="L27" s="48"/>
      <c r="M27" s="48"/>
      <c r="N27" s="57"/>
      <c r="O27" s="57"/>
    </row>
    <row r="28" spans="1:15" x14ac:dyDescent="0.25">
      <c r="A28" s="48"/>
      <c r="B28" s="126"/>
      <c r="C28" s="49"/>
      <c r="D28" s="49"/>
      <c r="E28" s="49"/>
      <c r="F28" s="48"/>
      <c r="G28" s="48"/>
      <c r="H28" s="48"/>
      <c r="I28" s="48"/>
      <c r="J28" s="48"/>
      <c r="K28" s="48"/>
      <c r="L28" s="48"/>
      <c r="M28" s="48"/>
    </row>
    <row r="29" spans="1:15" ht="18" customHeight="1" x14ac:dyDescent="0.25">
      <c r="A29" s="48"/>
      <c r="B29" s="2074" t="str">
        <f>IF('Project information'!$C$7="Full Certification stage","• Is any designated smoking area included in the project space?","• Will any designated smoking area be included in the project space?")</f>
        <v>• Will any designated smoking area be included in the project space?</v>
      </c>
      <c r="C29" s="2074"/>
      <c r="D29" s="2074"/>
      <c r="E29" s="2074"/>
      <c r="F29" s="725" t="s">
        <v>62</v>
      </c>
      <c r="G29" s="48"/>
      <c r="H29" s="48"/>
      <c r="I29" s="48"/>
      <c r="J29" s="48"/>
      <c r="K29" s="48"/>
      <c r="L29" s="48"/>
      <c r="M29" s="48"/>
    </row>
    <row r="30" spans="1:15" ht="18" customHeight="1" x14ac:dyDescent="0.25">
      <c r="A30" s="48"/>
      <c r="B30" s="2074" t="str">
        <f>IF('Project information'!$C$7="Full Certification stage","• If yes, does the designated smoking area have a separated ventilation system?","• If yes, will the designated smoking area have a separated ventilation system?")</f>
        <v>• If yes, will the designated smoking area have a separated ventilation system?</v>
      </c>
      <c r="C30" s="2074"/>
      <c r="D30" s="2074"/>
      <c r="E30" s="2074"/>
      <c r="F30" s="725" t="s">
        <v>62</v>
      </c>
      <c r="G30" s="48"/>
      <c r="H30" s="48"/>
      <c r="I30" s="48"/>
      <c r="J30" s="48"/>
      <c r="K30" s="48"/>
      <c r="L30" s="48"/>
      <c r="M30" s="48"/>
    </row>
    <row r="31" spans="1:15" ht="19.5" customHeight="1" x14ac:dyDescent="0.25">
      <c r="A31" s="48"/>
      <c r="B31" s="49"/>
      <c r="C31" s="49"/>
      <c r="D31" s="49"/>
      <c r="E31" s="49"/>
      <c r="F31" s="48"/>
      <c r="G31" s="48"/>
      <c r="H31" s="48"/>
      <c r="I31" s="48"/>
      <c r="J31" s="48"/>
      <c r="K31" s="48"/>
      <c r="L31" s="48"/>
      <c r="M31" s="48"/>
    </row>
    <row r="32" spans="1:15" ht="18" customHeight="1" x14ac:dyDescent="0.25">
      <c r="A32" s="48"/>
      <c r="B32" s="2102" t="s">
        <v>459</v>
      </c>
      <c r="C32" s="2102"/>
      <c r="D32" s="70" t="str">
        <f>IF(F24="Yes","N/A",IF(AND(F27="Yes",OR(F26="N/A",F26="Yes"),F29="No"),"Yes",IF(AND(F29="Yes",F30="Yes"),"Yes","No")))</f>
        <v>No</v>
      </c>
      <c r="E32" s="49"/>
      <c r="F32" s="48"/>
      <c r="G32" s="48"/>
      <c r="H32" s="48"/>
      <c r="I32" s="48"/>
      <c r="J32" s="48"/>
      <c r="K32" s="48"/>
      <c r="L32" s="48"/>
      <c r="M32" s="48"/>
    </row>
    <row r="33" spans="1:14" ht="18" customHeight="1" x14ac:dyDescent="0.25">
      <c r="A33" s="48"/>
      <c r="B33" s="121"/>
      <c r="C33" s="49"/>
      <c r="D33" s="49"/>
      <c r="E33" s="49"/>
      <c r="F33" s="48"/>
      <c r="G33" s="48"/>
      <c r="H33" s="48"/>
      <c r="I33" s="48"/>
      <c r="J33" s="48"/>
      <c r="K33" s="48"/>
      <c r="L33" s="48"/>
      <c r="M33" s="48"/>
    </row>
    <row r="34" spans="1:14" ht="18" customHeight="1" x14ac:dyDescent="0.25">
      <c r="A34" s="2092" t="s">
        <v>97</v>
      </c>
      <c r="B34" s="2092"/>
      <c r="C34" s="2092"/>
      <c r="D34" s="2092"/>
      <c r="E34" s="2092"/>
      <c r="F34" s="2092"/>
      <c r="G34" s="2092"/>
      <c r="H34" s="2092"/>
      <c r="I34" s="2092"/>
      <c r="J34" s="2092"/>
      <c r="K34" s="2092"/>
      <c r="L34" s="2092"/>
      <c r="M34" s="2092"/>
    </row>
    <row r="35" spans="1:14" x14ac:dyDescent="0.25">
      <c r="A35" s="48"/>
      <c r="B35" s="49"/>
      <c r="C35" s="49"/>
      <c r="D35" s="48"/>
      <c r="E35" s="48"/>
      <c r="F35" s="48"/>
      <c r="G35" s="48"/>
      <c r="H35" s="48"/>
      <c r="I35" s="48"/>
      <c r="J35" s="48"/>
      <c r="K35" s="48"/>
      <c r="L35" s="48"/>
      <c r="M35" s="48"/>
    </row>
    <row r="36" spans="1:14" ht="21" customHeight="1" x14ac:dyDescent="0.25">
      <c r="A36" s="48"/>
      <c r="B36" s="2093" t="s">
        <v>98</v>
      </c>
      <c r="C36" s="2094"/>
      <c r="D36" s="2094"/>
      <c r="E36" s="2094"/>
      <c r="F36" s="2094"/>
      <c r="G36" s="256" t="s">
        <v>1297</v>
      </c>
      <c r="H36" s="2095" t="s">
        <v>1298</v>
      </c>
      <c r="I36" s="2095"/>
      <c r="J36" s="48"/>
      <c r="K36" s="48"/>
      <c r="L36" s="48"/>
      <c r="M36" s="48"/>
    </row>
    <row r="37" spans="1:14" ht="27" customHeight="1" x14ac:dyDescent="0.25">
      <c r="A37" s="48"/>
      <c r="B37" s="1644" t="str">
        <f>Submittals!H77</f>
        <v>Select the Submission Stage in Project Information</v>
      </c>
      <c r="C37" s="1645"/>
      <c r="D37" s="1645"/>
      <c r="E37" s="1645"/>
      <c r="F37" s="1645"/>
      <c r="G37" s="810" t="s">
        <v>2038</v>
      </c>
      <c r="H37" s="1625"/>
      <c r="I37" s="1626"/>
      <c r="J37" s="48"/>
      <c r="K37" s="48"/>
      <c r="L37" s="48"/>
      <c r="M37" s="48"/>
      <c r="N37" s="37" t="str">
        <f>IF(OR(B37="/",B37="No evidence required at this submission stage"),"Yes",IF(G37="Submitted","Yes","No"))</f>
        <v>Yes</v>
      </c>
    </row>
    <row r="38" spans="1:14" ht="36" customHeight="1" x14ac:dyDescent="0.25">
      <c r="A38" s="48"/>
      <c r="B38" s="1644" t="str">
        <f>Submittals!H78</f>
        <v>Select the Submission Stage in Project Information</v>
      </c>
      <c r="C38" s="1645"/>
      <c r="D38" s="1645"/>
      <c r="E38" s="1645"/>
      <c r="F38" s="1645"/>
      <c r="G38" s="1298" t="s">
        <v>2478</v>
      </c>
      <c r="H38" s="1625"/>
      <c r="I38" s="1626"/>
      <c r="J38" s="48"/>
      <c r="K38" s="48"/>
      <c r="L38" s="48"/>
      <c r="M38" s="48"/>
      <c r="N38" s="37" t="str">
        <f>IF(OR(B38="/",B38="No evidence required at this submission stage"),"Yes",IF(OR(G38="Already approved at PC",G38="Submitted"),"Yes","No"))</f>
        <v>Yes</v>
      </c>
    </row>
    <row r="39" spans="1:14" ht="19.5" customHeight="1" x14ac:dyDescent="0.25">
      <c r="A39" s="48"/>
      <c r="B39" s="2096" t="s">
        <v>746</v>
      </c>
      <c r="C39" s="2096"/>
      <c r="D39" s="2096"/>
      <c r="E39" s="2096"/>
      <c r="F39" s="2096"/>
      <c r="G39" s="2096"/>
      <c r="H39" s="2096"/>
      <c r="I39" s="2096"/>
      <c r="J39" s="48"/>
      <c r="K39" s="48"/>
      <c r="L39" s="48"/>
      <c r="M39" s="48"/>
    </row>
    <row r="40" spans="1:14" ht="27" customHeight="1" x14ac:dyDescent="0.25">
      <c r="A40" s="48"/>
      <c r="B40" s="1644" t="str">
        <f>IF(F29="No","N/A",Submittals!H79)</f>
        <v>Select the Submission Stage in Project Information</v>
      </c>
      <c r="C40" s="1645"/>
      <c r="D40" s="1645"/>
      <c r="E40" s="1645"/>
      <c r="F40" s="1645"/>
      <c r="G40" s="810" t="s">
        <v>62</v>
      </c>
      <c r="H40" s="1625"/>
      <c r="I40" s="1626"/>
      <c r="J40" s="48"/>
      <c r="K40" s="48"/>
      <c r="L40" s="48"/>
      <c r="M40" s="48"/>
      <c r="N40" s="37" t="str">
        <f>IF(OR(B40="/",B40="N/A",B40="No evidence required at this submission stage"),"Yes",IF(G40="Submitted","Yes","No"))</f>
        <v>No</v>
      </c>
    </row>
    <row r="41" spans="1:14" ht="27" customHeight="1" x14ac:dyDescent="0.25">
      <c r="A41" s="48"/>
      <c r="B41" s="1644" t="str">
        <f>IF(F29="No","N/A",Submittals!H80)</f>
        <v>Select the Submission Stage in Project Information</v>
      </c>
      <c r="C41" s="1645"/>
      <c r="D41" s="1645"/>
      <c r="E41" s="1645"/>
      <c r="F41" s="1645"/>
      <c r="G41" s="810" t="s">
        <v>62</v>
      </c>
      <c r="H41" s="1625"/>
      <c r="I41" s="1626"/>
      <c r="J41" s="48"/>
      <c r="K41" s="48"/>
      <c r="L41" s="48"/>
      <c r="M41" s="48"/>
      <c r="N41" s="37" t="str">
        <f>IF(OR(B41="/",B41="N/A",B41="No evidence required at this submission stage"),"Yes",IF(G41="Submitted","Yes","No"))</f>
        <v>No</v>
      </c>
    </row>
    <row r="42" spans="1:14" x14ac:dyDescent="0.25">
      <c r="A42" s="48"/>
      <c r="B42" s="49"/>
      <c r="C42" s="49"/>
      <c r="D42" s="49"/>
      <c r="E42" s="48"/>
      <c r="F42" s="48"/>
      <c r="G42" s="48"/>
      <c r="H42" s="48"/>
      <c r="I42" s="48"/>
      <c r="J42" s="48"/>
      <c r="K42" s="48"/>
      <c r="L42" s="48"/>
      <c r="M42" s="48"/>
    </row>
    <row r="43" spans="1:14" ht="18" customHeight="1" x14ac:dyDescent="0.25">
      <c r="A43" s="2092" t="s">
        <v>8</v>
      </c>
      <c r="B43" s="2092"/>
      <c r="C43" s="2092"/>
      <c r="D43" s="2092"/>
      <c r="E43" s="2092"/>
      <c r="F43" s="2092"/>
      <c r="G43" s="2092"/>
      <c r="H43" s="2092"/>
      <c r="I43" s="2092"/>
      <c r="J43" s="2092"/>
      <c r="K43" s="2092"/>
      <c r="L43" s="2092"/>
      <c r="M43" s="2092"/>
    </row>
    <row r="44" spans="1:14" x14ac:dyDescent="0.25">
      <c r="A44" s="48"/>
      <c r="B44" s="49"/>
      <c r="C44" s="49"/>
      <c r="D44" s="49"/>
      <c r="E44" s="49"/>
      <c r="F44" s="48"/>
      <c r="G44" s="48"/>
      <c r="H44" s="48"/>
      <c r="I44" s="48"/>
      <c r="J44" s="48"/>
      <c r="K44" s="48"/>
      <c r="L44" s="48"/>
      <c r="M44" s="48"/>
    </row>
    <row r="45" spans="1:14" ht="18" customHeight="1" x14ac:dyDescent="0.25">
      <c r="A45" s="48"/>
      <c r="B45" s="115" t="s">
        <v>360</v>
      </c>
      <c r="C45" s="364" t="str">
        <f>D32</f>
        <v>No</v>
      </c>
      <c r="D45" s="49"/>
      <c r="E45" s="48"/>
      <c r="F45" s="48"/>
      <c r="G45" s="48"/>
      <c r="H45" s="48"/>
      <c r="I45" s="48"/>
      <c r="J45" s="48"/>
      <c r="K45" s="48"/>
      <c r="L45" s="48"/>
      <c r="M45" s="48"/>
    </row>
    <row r="46" spans="1:14" ht="18" customHeight="1" x14ac:dyDescent="0.25">
      <c r="A46" s="48"/>
      <c r="B46" s="117" t="s">
        <v>151</v>
      </c>
      <c r="C46" s="118" t="str">
        <f>IF(C45="N/A","N/A",IF(AND(F29="No",COUNTIF(N37:N38,"Yes")=2,C45="Yes"),"Yes",IF(AND(F29="Yes",COUNTIF(N37:N41,"Yes")=4,C45="Yes"),"Yes","No")))</f>
        <v>No</v>
      </c>
      <c r="D46" s="49"/>
      <c r="E46" s="49"/>
      <c r="F46" s="48"/>
      <c r="G46" s="48"/>
      <c r="H46" s="48"/>
      <c r="I46" s="48"/>
      <c r="J46" s="48"/>
      <c r="K46" s="48"/>
      <c r="L46" s="48"/>
      <c r="M46" s="48"/>
    </row>
    <row r="47" spans="1:14" x14ac:dyDescent="0.25">
      <c r="A47" s="48"/>
      <c r="B47" s="49"/>
      <c r="C47" s="49"/>
      <c r="D47" s="49"/>
      <c r="E47" s="49"/>
      <c r="F47" s="48"/>
      <c r="G47" s="48"/>
      <c r="H47" s="48"/>
      <c r="I47" s="48"/>
      <c r="J47" s="48"/>
      <c r="K47" s="48"/>
      <c r="L47" s="48"/>
      <c r="M47" s="48"/>
    </row>
    <row r="48" spans="1:14" hidden="1" x14ac:dyDescent="0.25">
      <c r="K48" s="48"/>
      <c r="L48" s="48"/>
      <c r="M48" s="48"/>
    </row>
    <row r="49" spans="11:13" hidden="1" x14ac:dyDescent="0.25">
      <c r="K49" s="48"/>
      <c r="L49" s="48"/>
      <c r="M49" s="48"/>
    </row>
    <row r="50" spans="11:13" hidden="1" x14ac:dyDescent="0.25">
      <c r="K50" s="48"/>
      <c r="L50" s="48"/>
      <c r="M50" s="48"/>
    </row>
    <row r="51" spans="11:13" ht="15" hidden="1" customHeight="1" x14ac:dyDescent="0.25"/>
    <row r="52" spans="11:13" ht="15" hidden="1" customHeight="1" x14ac:dyDescent="0.25"/>
    <row r="53" spans="11:13" ht="15" hidden="1" customHeight="1" x14ac:dyDescent="0.25"/>
    <row r="54" spans="11:13" ht="15" hidden="1" customHeight="1" x14ac:dyDescent="0.25"/>
    <row r="55" spans="11:13" ht="15" hidden="1" customHeight="1" x14ac:dyDescent="0.25"/>
    <row r="56" spans="11:13" ht="15" hidden="1" customHeight="1" x14ac:dyDescent="0.25"/>
    <row r="57" spans="11:13" ht="15" hidden="1" customHeight="1" x14ac:dyDescent="0.25"/>
    <row r="58" spans="11:13" ht="15" hidden="1" customHeight="1" x14ac:dyDescent="0.25"/>
    <row r="59" spans="11:13" ht="15" hidden="1" customHeight="1" x14ac:dyDescent="0.25"/>
    <row r="60" spans="11:13" ht="15" hidden="1" customHeight="1" x14ac:dyDescent="0.25"/>
    <row r="61" spans="11:13" ht="15" hidden="1" customHeight="1" x14ac:dyDescent="0.25"/>
    <row r="62" spans="11:13" ht="15" hidden="1" customHeight="1" x14ac:dyDescent="0.25"/>
    <row r="63" spans="11:13" ht="15" hidden="1" customHeight="1" x14ac:dyDescent="0.25"/>
    <row r="64" spans="11:13"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sheetData>
  <sheetProtection algorithmName="SHA-512" hashValue="aRHH9eVI3sBvwXo9eRCYnvpgI3JY8BDgMFEqKOtuzAeKERL3dDrbNGp2kUBtkdgk5PTgUCG6OXzNFpbml0MSRA==" saltValue="zWSZPuohhVajmEBmm8lySg==" spinCount="100000" sheet="1" objects="1" scenarios="1"/>
  <mergeCells count="26">
    <mergeCell ref="B32:C32"/>
    <mergeCell ref="B22:F22"/>
    <mergeCell ref="B26:E26"/>
    <mergeCell ref="B27:E27"/>
    <mergeCell ref="B29:E29"/>
    <mergeCell ref="B30:E30"/>
    <mergeCell ref="B24:E24"/>
    <mergeCell ref="H2:I4"/>
    <mergeCell ref="B11:E11"/>
    <mergeCell ref="B12:E12"/>
    <mergeCell ref="A5:M7"/>
    <mergeCell ref="A14:M14"/>
    <mergeCell ref="A9:M9"/>
    <mergeCell ref="A43:M43"/>
    <mergeCell ref="A34:M34"/>
    <mergeCell ref="B37:F37"/>
    <mergeCell ref="B38:F38"/>
    <mergeCell ref="B36:F36"/>
    <mergeCell ref="B40:F40"/>
    <mergeCell ref="B41:F41"/>
    <mergeCell ref="H36:I36"/>
    <mergeCell ref="H37:I37"/>
    <mergeCell ref="H38:I38"/>
    <mergeCell ref="H40:I40"/>
    <mergeCell ref="H41:I41"/>
    <mergeCell ref="B39:I39"/>
  </mergeCells>
  <conditionalFormatting sqref="G37:I37 H38:I38">
    <cfRule type="expression" dxfId="363" priority="3">
      <formula>$B37="/"</formula>
    </cfRule>
    <cfRule type="expression" dxfId="362" priority="10">
      <formula>$B37="No evidence required at this submission stage"</formula>
    </cfRule>
  </conditionalFormatting>
  <conditionalFormatting sqref="G40:I41">
    <cfRule type="expression" dxfId="361" priority="4">
      <formula>$B40="N/A"</formula>
    </cfRule>
    <cfRule type="expression" dxfId="360" priority="8">
      <formula>$B40="No evidence required at this submission stage"</formula>
    </cfRule>
    <cfRule type="expression" dxfId="359" priority="9">
      <formula>$B40="/"</formula>
    </cfRule>
  </conditionalFormatting>
  <conditionalFormatting sqref="G38">
    <cfRule type="expression" dxfId="358" priority="1">
      <formula>$B38="/"</formula>
    </cfRule>
    <cfRule type="expression" dxfId="357" priority="2">
      <formula>$B38="No evidence required at this submission stage"</formula>
    </cfRule>
  </conditionalFormatting>
  <dataValidations count="4">
    <dataValidation type="list" allowBlank="1" showInputMessage="1" showErrorMessage="1" sqref="G40:G41 G37">
      <formula1>"Select,Submitted,Not submitted"</formula1>
    </dataValidation>
    <dataValidation type="list" allowBlank="1" showInputMessage="1" showErrorMessage="1" sqref="F29:F30 F27 F24">
      <formula1>"Select,Yes,No"</formula1>
    </dataValidation>
    <dataValidation type="list" allowBlank="1" showInputMessage="1" showErrorMessage="1" sqref="F26">
      <formula1>"Select,Yes,No,N/A"</formula1>
    </dataValidation>
    <dataValidation type="list" allowBlank="1" showInputMessage="1" showErrorMessage="1" sqref="G38">
      <formula1>Sub_FC</formula1>
    </dataValidation>
  </dataValidations>
  <hyperlinks>
    <hyperlink ref="J3" location="'H-2 CO2 Monitoring'!B3" tooltip="H-2" display="H-2"/>
    <hyperlink ref="L3" location="'H-8 External Views'!B3" tooltip="H-8" display="H-8"/>
    <hyperlink ref="L4" location="'H-9 Lighting Comfort'!B3" tooltip="H-9" display="H-9"/>
    <hyperlink ref="L2" location="'H-7 Daylighting'!B3" tooltip="H-7" display="H-7"/>
    <hyperlink ref="M3" location="'H-11 Acoustic Comfort'!B3" tooltip="H-11" display="H-11"/>
    <hyperlink ref="M2" location="'H-10 Thermal Comfort'!B3" tooltip="H-10" display="H-10"/>
    <hyperlink ref="M4" location="'H-12 Post-occupancy Comfort'!B3" tooltip="H-12" display="H-12"/>
    <hyperlink ref="K3" location="'H-5 Interior Plants'!B3" tooltip="H-5" display="H-5"/>
    <hyperlink ref="K2" location="'H-4 Removal of pollutants'!B3" tooltip="H-4" display="H-4"/>
    <hyperlink ref="K4" location="'H-6 Green Cleaning'!B3" tooltip="H-6" display="H-6"/>
    <hyperlink ref="J2" location="'H-1 Fresh Air Supply'!B3" tooltip="H-1" display="H-1"/>
    <hyperlink ref="J4" location="'H-3 Low-VOC Emissions '!D3" tooltip="H-3" display="H-3"/>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43634"/>
  </sheetPr>
  <dimension ref="A1:O149"/>
  <sheetViews>
    <sheetView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4.7109375" style="37" customWidth="1"/>
    <col min="2" max="3" width="20.85546875" style="37" customWidth="1"/>
    <col min="4" max="4" width="17.7109375" style="37" customWidth="1"/>
    <col min="5" max="5" width="22.42578125" style="37" customWidth="1"/>
    <col min="6" max="8" width="17.85546875" style="37" customWidth="1"/>
    <col min="9" max="9" width="17.5703125" style="37" customWidth="1"/>
    <col min="10" max="13" width="8.7109375" style="37" customWidth="1"/>
    <col min="14" max="15" width="0" style="37" hidden="1" customWidth="1"/>
    <col min="16" max="16384" width="9.140625" style="37" hidden="1"/>
  </cols>
  <sheetData>
    <row r="1" spans="1:14" ht="23.25" x14ac:dyDescent="0.25">
      <c r="A1" s="2104" t="s">
        <v>4</v>
      </c>
      <c r="B1" s="2104"/>
      <c r="C1" s="2104"/>
      <c r="D1" s="2104"/>
      <c r="E1" s="2104"/>
      <c r="F1" s="2104"/>
      <c r="G1" s="2104"/>
      <c r="H1" s="2104"/>
      <c r="I1" s="2104"/>
      <c r="J1" s="2104"/>
      <c r="K1" s="2104"/>
      <c r="L1" s="2104"/>
      <c r="M1" s="2104"/>
    </row>
    <row r="2" spans="1:14" ht="15" customHeight="1" x14ac:dyDescent="0.25">
      <c r="A2" s="48"/>
      <c r="B2" s="49"/>
      <c r="C2" s="49"/>
      <c r="D2" s="49"/>
      <c r="E2" s="49"/>
      <c r="F2" s="48"/>
      <c r="G2" s="48"/>
      <c r="H2" s="1694" t="s">
        <v>1702</v>
      </c>
      <c r="I2" s="1694"/>
      <c r="J2" s="752" t="s">
        <v>340</v>
      </c>
      <c r="K2" s="752" t="s">
        <v>37</v>
      </c>
      <c r="L2" s="752" t="s">
        <v>314</v>
      </c>
      <c r="M2" s="752" t="s">
        <v>317</v>
      </c>
    </row>
    <row r="3" spans="1:14" ht="15" customHeight="1" x14ac:dyDescent="0.25">
      <c r="A3" s="48"/>
      <c r="B3" s="49"/>
      <c r="C3" s="49"/>
      <c r="D3" s="49"/>
      <c r="E3" s="49"/>
      <c r="F3" s="48"/>
      <c r="G3" s="48"/>
      <c r="H3" s="1694"/>
      <c r="I3" s="1694"/>
      <c r="J3" s="752" t="s">
        <v>32</v>
      </c>
      <c r="K3" s="752" t="s">
        <v>248</v>
      </c>
      <c r="L3" s="752" t="s">
        <v>315</v>
      </c>
      <c r="M3" s="752" t="s">
        <v>318</v>
      </c>
    </row>
    <row r="4" spans="1:14" ht="15" customHeight="1" x14ac:dyDescent="0.25">
      <c r="A4" s="48"/>
      <c r="B4" s="49"/>
      <c r="C4" s="49"/>
      <c r="D4" s="49"/>
      <c r="E4" s="49"/>
      <c r="F4" s="48"/>
      <c r="G4" s="48"/>
      <c r="H4" s="1695"/>
      <c r="I4" s="1695"/>
      <c r="J4" s="752" t="s">
        <v>35</v>
      </c>
      <c r="K4" s="752" t="s">
        <v>313</v>
      </c>
      <c r="L4" s="752" t="s">
        <v>316</v>
      </c>
      <c r="M4" s="752" t="s">
        <v>319</v>
      </c>
    </row>
    <row r="5" spans="1:14" ht="21" customHeight="1" x14ac:dyDescent="0.25">
      <c r="A5" s="1704" t="s">
        <v>2832</v>
      </c>
      <c r="B5" s="1705"/>
      <c r="C5" s="1705"/>
      <c r="D5" s="1705"/>
      <c r="E5" s="1705"/>
      <c r="F5" s="1705"/>
      <c r="G5" s="1705"/>
      <c r="H5" s="1705"/>
      <c r="I5" s="1705"/>
      <c r="J5" s="1705"/>
      <c r="K5" s="1705"/>
      <c r="L5" s="1705"/>
      <c r="M5" s="1706"/>
    </row>
    <row r="6" spans="1:14" ht="21" customHeight="1" x14ac:dyDescent="0.25">
      <c r="A6" s="1707"/>
      <c r="B6" s="1708"/>
      <c r="C6" s="1708"/>
      <c r="D6" s="1708"/>
      <c r="E6" s="1708"/>
      <c r="F6" s="1708"/>
      <c r="G6" s="1708"/>
      <c r="H6" s="1708"/>
      <c r="I6" s="1708"/>
      <c r="J6" s="1708"/>
      <c r="K6" s="1708"/>
      <c r="L6" s="1708"/>
      <c r="M6" s="1709"/>
    </row>
    <row r="7" spans="1:14" ht="21" customHeight="1" x14ac:dyDescent="0.25">
      <c r="A7" s="1710"/>
      <c r="B7" s="1711"/>
      <c r="C7" s="1711"/>
      <c r="D7" s="1711"/>
      <c r="E7" s="1711"/>
      <c r="F7" s="1711"/>
      <c r="G7" s="1711"/>
      <c r="H7" s="1711"/>
      <c r="I7" s="1711"/>
      <c r="J7" s="1711"/>
      <c r="K7" s="1711"/>
      <c r="L7" s="1711"/>
      <c r="M7" s="1712"/>
    </row>
    <row r="8" spans="1:14" ht="12" customHeight="1" x14ac:dyDescent="0.25">
      <c r="A8" s="48"/>
      <c r="B8" s="49"/>
      <c r="C8" s="49"/>
      <c r="D8" s="49"/>
      <c r="E8" s="49"/>
      <c r="F8" s="48"/>
      <c r="G8" s="48"/>
      <c r="H8" s="48"/>
      <c r="I8" s="48"/>
      <c r="J8" s="48"/>
      <c r="K8" s="48"/>
      <c r="L8" s="48"/>
      <c r="M8" s="48"/>
      <c r="N8" s="48"/>
    </row>
    <row r="9" spans="1:14" ht="18" customHeight="1" x14ac:dyDescent="0.25">
      <c r="A9" s="2092" t="s">
        <v>95</v>
      </c>
      <c r="B9" s="2092"/>
      <c r="C9" s="2092"/>
      <c r="D9" s="2092"/>
      <c r="E9" s="2092"/>
      <c r="F9" s="2092"/>
      <c r="G9" s="2092"/>
      <c r="H9" s="2092"/>
      <c r="I9" s="2092"/>
      <c r="J9" s="2092"/>
      <c r="K9" s="2092"/>
      <c r="L9" s="2092"/>
      <c r="M9" s="2092"/>
    </row>
    <row r="10" spans="1:14" x14ac:dyDescent="0.25">
      <c r="A10" s="48"/>
      <c r="B10" s="49"/>
      <c r="C10" s="49"/>
      <c r="D10" s="49"/>
      <c r="E10" s="49"/>
      <c r="F10" s="48"/>
      <c r="G10" s="48"/>
      <c r="H10" s="48"/>
      <c r="I10" s="48"/>
      <c r="J10" s="48"/>
      <c r="K10" s="48"/>
      <c r="L10" s="48"/>
      <c r="M10" s="48"/>
    </row>
    <row r="11" spans="1:14" ht="21" customHeight="1" x14ac:dyDescent="0.25">
      <c r="A11" s="48"/>
      <c r="B11" s="2097" t="s">
        <v>96</v>
      </c>
      <c r="C11" s="2098"/>
      <c r="D11" s="2098"/>
      <c r="E11" s="2098"/>
      <c r="F11" s="677" t="s">
        <v>75</v>
      </c>
      <c r="G11" s="677" t="s">
        <v>19</v>
      </c>
      <c r="H11" s="50" t="s">
        <v>151</v>
      </c>
      <c r="I11" s="48"/>
      <c r="J11" s="48"/>
      <c r="K11" s="48"/>
      <c r="L11" s="48"/>
      <c r="M11" s="48"/>
    </row>
    <row r="12" spans="1:14" ht="21" customHeight="1" x14ac:dyDescent="0.25">
      <c r="A12" s="48"/>
      <c r="B12" s="2105" t="s">
        <v>2008</v>
      </c>
      <c r="C12" s="2106"/>
      <c r="D12" s="2106"/>
      <c r="E12" s="2107"/>
      <c r="F12" s="53">
        <v>2</v>
      </c>
      <c r="G12" s="166">
        <f>C100</f>
        <v>0</v>
      </c>
      <c r="H12" s="166" t="str">
        <f>C101</f>
        <v>No</v>
      </c>
      <c r="I12" s="48"/>
      <c r="J12" s="48"/>
      <c r="K12" s="48"/>
      <c r="L12" s="48"/>
      <c r="M12" s="48"/>
    </row>
    <row r="13" spans="1:14" x14ac:dyDescent="0.25">
      <c r="A13" s="48"/>
      <c r="B13" s="49"/>
      <c r="C13" s="49"/>
      <c r="D13" s="49"/>
      <c r="E13" s="49"/>
      <c r="F13" s="48"/>
      <c r="G13" s="48"/>
      <c r="H13" s="48"/>
      <c r="I13" s="48"/>
      <c r="J13" s="48"/>
      <c r="K13" s="48"/>
      <c r="L13" s="48"/>
      <c r="M13" s="48"/>
    </row>
    <row r="14" spans="1:14" ht="18" customHeight="1" x14ac:dyDescent="0.25">
      <c r="A14" s="2092" t="s">
        <v>117</v>
      </c>
      <c r="B14" s="2092"/>
      <c r="C14" s="2092"/>
      <c r="D14" s="2092"/>
      <c r="E14" s="2092"/>
      <c r="F14" s="2092"/>
      <c r="G14" s="2092"/>
      <c r="H14" s="2092"/>
      <c r="I14" s="2092"/>
      <c r="J14" s="2092"/>
      <c r="K14" s="2092"/>
      <c r="L14" s="2092"/>
      <c r="M14" s="2092"/>
    </row>
    <row r="15" spans="1:14" x14ac:dyDescent="0.25">
      <c r="A15" s="48"/>
      <c r="B15" s="49"/>
      <c r="C15" s="49"/>
      <c r="D15" s="49"/>
      <c r="E15" s="49"/>
      <c r="F15" s="48"/>
      <c r="G15" s="48"/>
      <c r="H15" s="48"/>
      <c r="I15" s="48"/>
      <c r="J15" s="48"/>
      <c r="K15" s="48"/>
      <c r="L15" s="48"/>
      <c r="M15" s="48"/>
    </row>
    <row r="16" spans="1:14" x14ac:dyDescent="0.25">
      <c r="A16" s="48"/>
      <c r="B16" s="708" t="s">
        <v>1261</v>
      </c>
      <c r="C16" s="49"/>
      <c r="D16" s="49"/>
      <c r="E16" s="49"/>
      <c r="F16" s="48"/>
      <c r="G16" s="48"/>
      <c r="H16" s="48"/>
      <c r="I16" s="48"/>
      <c r="J16" s="48"/>
      <c r="K16" s="48"/>
      <c r="L16" s="48"/>
      <c r="M16" s="48"/>
    </row>
    <row r="17" spans="1:13" x14ac:dyDescent="0.25">
      <c r="A17" s="48"/>
      <c r="B17" s="49"/>
      <c r="C17" s="49"/>
      <c r="D17" s="49"/>
      <c r="E17" s="49"/>
      <c r="F17" s="48"/>
      <c r="G17" s="48"/>
      <c r="H17" s="48"/>
      <c r="I17" s="48"/>
      <c r="J17" s="48"/>
      <c r="K17" s="48"/>
      <c r="L17" s="48"/>
      <c r="M17" s="48"/>
    </row>
    <row r="18" spans="1:13" x14ac:dyDescent="0.25">
      <c r="A18" s="48"/>
      <c r="B18" s="49" t="s">
        <v>1260</v>
      </c>
      <c r="C18" s="49"/>
      <c r="D18" s="49"/>
      <c r="E18" s="49"/>
      <c r="F18" s="48"/>
      <c r="G18" s="48"/>
      <c r="H18" s="48"/>
      <c r="I18" s="48"/>
      <c r="J18" s="48"/>
      <c r="K18" s="48"/>
      <c r="L18" s="48"/>
      <c r="M18" s="48"/>
    </row>
    <row r="19" spans="1:13" ht="12.75" customHeight="1" x14ac:dyDescent="0.25">
      <c r="A19" s="48"/>
      <c r="B19" s="49"/>
      <c r="C19" s="49"/>
      <c r="D19" s="49"/>
      <c r="E19" s="49"/>
      <c r="F19" s="48"/>
      <c r="G19" s="48"/>
      <c r="H19" s="48"/>
      <c r="I19" s="48"/>
      <c r="J19" s="48"/>
      <c r="K19" s="48"/>
      <c r="L19" s="48"/>
      <c r="M19" s="48"/>
    </row>
    <row r="20" spans="1:13" x14ac:dyDescent="0.25">
      <c r="A20" s="48"/>
      <c r="B20" s="121" t="s">
        <v>277</v>
      </c>
      <c r="C20" s="49"/>
      <c r="D20" s="49"/>
      <c r="E20" s="49"/>
      <c r="F20" s="48"/>
      <c r="G20" s="48"/>
      <c r="H20" s="48"/>
      <c r="I20" s="48"/>
      <c r="J20" s="48"/>
      <c r="K20" s="48"/>
      <c r="L20" s="48"/>
      <c r="M20" s="48"/>
    </row>
    <row r="21" spans="1:13" x14ac:dyDescent="0.25">
      <c r="A21" s="48"/>
      <c r="B21" s="506" t="s">
        <v>2004</v>
      </c>
      <c r="C21" s="49"/>
      <c r="D21" s="49"/>
      <c r="E21" s="49"/>
      <c r="F21" s="48"/>
      <c r="G21" s="48"/>
      <c r="H21" s="48"/>
      <c r="I21" s="48"/>
      <c r="J21" s="48"/>
      <c r="K21" s="48"/>
      <c r="L21" s="48"/>
      <c r="M21" s="48"/>
    </row>
    <row r="22" spans="1:13" ht="64.5" customHeight="1" x14ac:dyDescent="0.25">
      <c r="A22" s="48"/>
      <c r="B22" s="2108" t="s">
        <v>1263</v>
      </c>
      <c r="C22" s="2108"/>
      <c r="D22" s="2108"/>
      <c r="E22" s="2108"/>
      <c r="F22" s="2108"/>
      <c r="G22" s="2108"/>
      <c r="H22" s="2108"/>
      <c r="I22" s="2108"/>
      <c r="J22" s="2108"/>
      <c r="K22" s="48"/>
      <c r="L22" s="48"/>
      <c r="M22" s="48"/>
    </row>
    <row r="23" spans="1:13" ht="25.5" customHeight="1" x14ac:dyDescent="0.25">
      <c r="A23" s="48"/>
      <c r="B23" s="614" t="s">
        <v>2006</v>
      </c>
      <c r="C23" s="1106"/>
      <c r="D23" s="1106"/>
      <c r="E23" s="1106"/>
      <c r="F23" s="1106"/>
      <c r="G23" s="1106"/>
      <c r="H23" s="1106"/>
      <c r="I23" s="1106"/>
      <c r="J23" s="1106"/>
      <c r="K23" s="48"/>
      <c r="L23" s="48"/>
      <c r="M23" s="48"/>
    </row>
    <row r="24" spans="1:13" x14ac:dyDescent="0.25">
      <c r="A24" s="48"/>
      <c r="B24" s="121"/>
      <c r="C24" s="49"/>
      <c r="D24" s="49"/>
      <c r="E24" s="49"/>
      <c r="F24" s="48"/>
      <c r="G24" s="48"/>
      <c r="H24" s="48"/>
      <c r="I24" s="48"/>
      <c r="J24" s="48"/>
      <c r="K24" s="48"/>
      <c r="L24" s="48"/>
      <c r="M24" s="48"/>
    </row>
    <row r="25" spans="1:13" x14ac:dyDescent="0.25">
      <c r="A25" s="48"/>
      <c r="B25" s="121" t="s">
        <v>1823</v>
      </c>
      <c r="C25" s="49"/>
      <c r="D25" s="49"/>
      <c r="E25" s="49"/>
      <c r="F25" s="48"/>
      <c r="G25" s="48"/>
      <c r="H25" s="48"/>
      <c r="I25" s="48"/>
      <c r="J25" s="48"/>
      <c r="K25" s="48"/>
      <c r="L25" s="48"/>
      <c r="M25" s="48"/>
    </row>
    <row r="26" spans="1:13" x14ac:dyDescent="0.25">
      <c r="A26" s="48"/>
      <c r="B26" s="126" t="s">
        <v>163</v>
      </c>
      <c r="C26" s="49"/>
      <c r="D26" s="49"/>
      <c r="E26" s="49"/>
      <c r="F26" s="48"/>
      <c r="G26" s="48"/>
      <c r="H26" s="48"/>
      <c r="I26" s="48"/>
      <c r="J26" s="48"/>
      <c r="K26" s="48"/>
      <c r="L26" s="48"/>
      <c r="M26" s="48"/>
    </row>
    <row r="27" spans="1:13" x14ac:dyDescent="0.25">
      <c r="A27" s="48"/>
      <c r="B27" s="126" t="s">
        <v>1264</v>
      </c>
      <c r="C27" s="49"/>
      <c r="D27" s="49"/>
      <c r="E27" s="49"/>
      <c r="F27" s="48"/>
      <c r="G27" s="48"/>
      <c r="H27" s="48"/>
      <c r="I27" s="48"/>
      <c r="J27" s="48"/>
      <c r="K27" s="48"/>
      <c r="L27" s="48"/>
      <c r="M27" s="48"/>
    </row>
    <row r="28" spans="1:13" x14ac:dyDescent="0.25">
      <c r="A28" s="48"/>
      <c r="B28" s="49" t="s">
        <v>2007</v>
      </c>
      <c r="C28" s="49"/>
      <c r="D28" s="49"/>
      <c r="E28" s="49"/>
      <c r="F28" s="48"/>
      <c r="G28" s="48"/>
      <c r="H28" s="48"/>
      <c r="I28" s="48"/>
      <c r="J28" s="48"/>
      <c r="K28" s="48"/>
      <c r="L28" s="48"/>
      <c r="M28" s="48"/>
    </row>
    <row r="29" spans="1:13" ht="12.75" customHeight="1" x14ac:dyDescent="0.25">
      <c r="A29" s="48"/>
      <c r="B29" s="49"/>
      <c r="C29" s="49"/>
      <c r="D29" s="49"/>
      <c r="E29" s="49"/>
      <c r="F29" s="48"/>
      <c r="G29" s="48"/>
      <c r="H29" s="48"/>
      <c r="I29" s="48"/>
      <c r="J29" s="48"/>
      <c r="K29" s="48"/>
      <c r="L29" s="48"/>
      <c r="M29" s="48"/>
    </row>
    <row r="30" spans="1:13" x14ac:dyDescent="0.25">
      <c r="A30" s="48"/>
      <c r="B30" s="121" t="s">
        <v>1824</v>
      </c>
      <c r="C30" s="49"/>
      <c r="D30" s="49"/>
      <c r="E30" s="49"/>
      <c r="F30" s="48"/>
      <c r="G30" s="48"/>
      <c r="H30" s="48"/>
      <c r="I30" s="48"/>
      <c r="J30" s="48"/>
      <c r="K30" s="48"/>
      <c r="L30" s="48"/>
      <c r="M30" s="48"/>
    </row>
    <row r="31" spans="1:13" x14ac:dyDescent="0.25">
      <c r="A31" s="48"/>
      <c r="B31" s="126" t="s">
        <v>275</v>
      </c>
      <c r="C31" s="49"/>
      <c r="D31" s="49"/>
      <c r="E31" s="49"/>
      <c r="F31" s="48"/>
      <c r="G31" s="48"/>
      <c r="H31" s="48"/>
      <c r="I31" s="48"/>
      <c r="J31" s="48"/>
      <c r="K31" s="48"/>
      <c r="L31" s="48"/>
      <c r="M31" s="48"/>
    </row>
    <row r="32" spans="1:13" x14ac:dyDescent="0.25">
      <c r="A32" s="48"/>
      <c r="B32" s="49" t="s">
        <v>164</v>
      </c>
      <c r="C32" s="49"/>
      <c r="D32" s="49"/>
      <c r="E32" s="49"/>
      <c r="F32" s="48"/>
      <c r="G32" s="48"/>
      <c r="H32" s="48"/>
      <c r="I32" s="48"/>
      <c r="J32" s="48"/>
      <c r="K32" s="48"/>
      <c r="L32" s="48"/>
      <c r="M32" s="48"/>
    </row>
    <row r="33" spans="1:14" ht="18.75" customHeight="1" x14ac:dyDescent="0.25">
      <c r="A33" s="48"/>
      <c r="B33" s="49"/>
      <c r="C33" s="49"/>
      <c r="D33" s="49"/>
      <c r="E33" s="49"/>
      <c r="F33" s="48"/>
      <c r="G33" s="48"/>
      <c r="H33" s="48"/>
      <c r="I33" s="48"/>
      <c r="J33" s="48"/>
      <c r="K33" s="48"/>
      <c r="L33" s="48"/>
      <c r="M33" s="48"/>
    </row>
    <row r="34" spans="1:14" ht="18" customHeight="1" x14ac:dyDescent="0.25">
      <c r="A34" s="2092" t="s">
        <v>9</v>
      </c>
      <c r="B34" s="2092"/>
      <c r="C34" s="2092"/>
      <c r="D34" s="2092"/>
      <c r="E34" s="2092"/>
      <c r="F34" s="2092"/>
      <c r="G34" s="2092"/>
      <c r="H34" s="2092"/>
      <c r="I34" s="2092"/>
      <c r="J34" s="2092"/>
      <c r="K34" s="2092"/>
      <c r="L34" s="2092"/>
      <c r="M34" s="2092"/>
    </row>
    <row r="35" spans="1:14" ht="12" customHeight="1" x14ac:dyDescent="0.25">
      <c r="A35" s="48"/>
      <c r="B35" s="49"/>
      <c r="C35" s="49"/>
      <c r="D35" s="49"/>
      <c r="E35" s="49"/>
      <c r="F35" s="48"/>
      <c r="G35" s="48"/>
      <c r="H35" s="48"/>
      <c r="I35" s="48"/>
      <c r="J35" s="48"/>
      <c r="K35" s="48"/>
      <c r="L35" s="48"/>
      <c r="M35" s="48"/>
    </row>
    <row r="36" spans="1:14" x14ac:dyDescent="0.25">
      <c r="A36" s="48"/>
      <c r="B36" s="778" t="s">
        <v>1259</v>
      </c>
      <c r="C36" s="49"/>
      <c r="D36" s="49"/>
      <c r="E36" s="49"/>
      <c r="F36" s="48"/>
      <c r="G36" s="48"/>
      <c r="H36" s="48"/>
      <c r="I36" s="48"/>
      <c r="J36" s="48"/>
      <c r="K36" s="48"/>
      <c r="L36" s="48"/>
      <c r="M36" s="48"/>
    </row>
    <row r="37" spans="1:14" ht="20.25" customHeight="1" x14ac:dyDescent="0.25">
      <c r="A37" s="48"/>
      <c r="B37" s="49"/>
      <c r="C37" s="49"/>
      <c r="D37" s="49"/>
      <c r="E37" s="49"/>
      <c r="F37" s="48"/>
      <c r="G37" s="48"/>
      <c r="H37" s="48"/>
      <c r="I37" s="48"/>
      <c r="J37" s="48"/>
      <c r="K37" s="48"/>
      <c r="L37" s="48"/>
      <c r="M37" s="48"/>
    </row>
    <row r="38" spans="1:14" ht="17.25" customHeight="1" x14ac:dyDescent="0.25">
      <c r="A38" s="48"/>
      <c r="B38" s="1900" t="s">
        <v>1834</v>
      </c>
      <c r="C38" s="1900"/>
      <c r="D38" s="1900"/>
      <c r="E38" s="1900"/>
      <c r="F38" s="1900"/>
      <c r="G38" s="1900"/>
      <c r="H38" s="1900"/>
      <c r="I38" s="48"/>
      <c r="J38" s="48"/>
      <c r="K38" s="48"/>
      <c r="L38" s="48"/>
      <c r="M38" s="48"/>
    </row>
    <row r="39" spans="1:14" ht="11.25" customHeight="1" x14ac:dyDescent="0.25">
      <c r="A39" s="48"/>
      <c r="B39" s="49"/>
      <c r="C39" s="49"/>
      <c r="D39" s="49"/>
      <c r="E39" s="49"/>
      <c r="F39" s="48"/>
      <c r="G39" s="48"/>
      <c r="H39" s="48"/>
      <c r="I39" s="48"/>
      <c r="J39" s="48"/>
      <c r="K39" s="48"/>
      <c r="L39" s="48"/>
      <c r="M39" s="48"/>
    </row>
    <row r="40" spans="1:14" ht="26.25" customHeight="1" x14ac:dyDescent="0.25">
      <c r="A40" s="48"/>
      <c r="B40" s="2093" t="s">
        <v>1829</v>
      </c>
      <c r="C40" s="2094"/>
      <c r="D40" s="1031" t="s">
        <v>1833</v>
      </c>
      <c r="E40" s="49"/>
      <c r="F40" s="48"/>
      <c r="G40" s="48"/>
      <c r="H40" s="48"/>
      <c r="I40" s="48"/>
      <c r="J40" s="48"/>
      <c r="K40" s="48"/>
      <c r="L40" s="48"/>
      <c r="M40" s="48"/>
    </row>
    <row r="41" spans="1:14" ht="17.25" customHeight="1" x14ac:dyDescent="0.25">
      <c r="A41" s="48"/>
      <c r="B41" s="1644" t="s">
        <v>1831</v>
      </c>
      <c r="C41" s="1646"/>
      <c r="D41" s="1025" t="s">
        <v>62</v>
      </c>
      <c r="E41" s="49"/>
      <c r="F41" s="48"/>
      <c r="G41" s="48"/>
      <c r="H41" s="48"/>
      <c r="I41" s="48"/>
      <c r="J41" s="48"/>
      <c r="K41" s="48"/>
      <c r="L41" s="48"/>
      <c r="M41" s="48"/>
    </row>
    <row r="42" spans="1:14" ht="17.25" customHeight="1" x14ac:dyDescent="0.25">
      <c r="A42" s="48"/>
      <c r="B42" s="1644" t="s">
        <v>1830</v>
      </c>
      <c r="C42" s="1646"/>
      <c r="D42" s="1253" t="s">
        <v>0</v>
      </c>
      <c r="E42" s="49"/>
      <c r="F42" s="48"/>
      <c r="G42" s="48"/>
      <c r="H42" s="48"/>
      <c r="I42" s="48"/>
      <c r="J42" s="48"/>
      <c r="K42" s="48"/>
      <c r="L42" s="48"/>
      <c r="M42" s="48"/>
    </row>
    <row r="43" spans="1:14" ht="17.25" customHeight="1" x14ac:dyDescent="0.25">
      <c r="A43" s="48"/>
      <c r="B43" s="1644" t="s">
        <v>1832</v>
      </c>
      <c r="C43" s="1646"/>
      <c r="D43" s="1253" t="s">
        <v>62</v>
      </c>
      <c r="E43" s="49"/>
      <c r="F43" s="48"/>
      <c r="G43" s="48"/>
      <c r="H43" s="48"/>
      <c r="I43" s="48"/>
      <c r="J43" s="48"/>
      <c r="K43" s="48"/>
      <c r="L43" s="48"/>
      <c r="M43" s="48"/>
    </row>
    <row r="44" spans="1:14" ht="21" customHeight="1" x14ac:dyDescent="0.25">
      <c r="A44" s="48"/>
      <c r="B44" s="49"/>
      <c r="C44" s="49"/>
      <c r="D44" s="49"/>
      <c r="E44" s="49"/>
      <c r="F44" s="48"/>
      <c r="G44" s="48"/>
      <c r="H44" s="48"/>
      <c r="I44" s="48"/>
      <c r="J44" s="48"/>
      <c r="K44" s="48"/>
      <c r="L44" s="48"/>
      <c r="M44" s="48"/>
    </row>
    <row r="45" spans="1:14" x14ac:dyDescent="0.25">
      <c r="A45" s="48"/>
      <c r="B45" s="1900" t="s">
        <v>1825</v>
      </c>
      <c r="C45" s="1900"/>
      <c r="D45" s="1900"/>
      <c r="E45" s="1900"/>
      <c r="F45" s="1900"/>
      <c r="G45" s="1900"/>
      <c r="H45" s="1900"/>
      <c r="I45" s="48"/>
      <c r="J45" s="48"/>
      <c r="K45" s="48"/>
      <c r="L45" s="48"/>
      <c r="M45" s="48"/>
    </row>
    <row r="46" spans="1:14" ht="12" customHeight="1" x14ac:dyDescent="0.25">
      <c r="A46" s="48"/>
      <c r="B46" s="49"/>
      <c r="C46" s="49"/>
      <c r="D46" s="49"/>
      <c r="E46" s="49"/>
      <c r="F46" s="48"/>
      <c r="G46" s="48"/>
      <c r="H46" s="48"/>
      <c r="I46" s="48"/>
      <c r="J46" s="48"/>
      <c r="K46" s="48"/>
      <c r="L46" s="48"/>
      <c r="M46" s="48"/>
    </row>
    <row r="47" spans="1:14" x14ac:dyDescent="0.25">
      <c r="A47" s="48"/>
      <c r="B47" s="121" t="s">
        <v>1826</v>
      </c>
      <c r="C47" s="49"/>
      <c r="D47" s="49"/>
      <c r="E47" s="49"/>
      <c r="F47" s="48"/>
      <c r="G47" s="48"/>
      <c r="H47" s="48"/>
      <c r="I47" s="48"/>
      <c r="J47" s="48"/>
      <c r="K47" s="48"/>
      <c r="L47" s="48"/>
      <c r="M47" s="48"/>
    </row>
    <row r="48" spans="1:14" ht="40.5" customHeight="1" x14ac:dyDescent="0.25">
      <c r="A48" s="48"/>
      <c r="B48" s="46" t="s">
        <v>716</v>
      </c>
      <c r="C48" s="1035" t="s">
        <v>165</v>
      </c>
      <c r="D48" s="150" t="s">
        <v>1015</v>
      </c>
      <c r="E48" s="150" t="s">
        <v>166</v>
      </c>
      <c r="F48" s="150" t="s">
        <v>1262</v>
      </c>
      <c r="G48" s="150" t="s">
        <v>1821</v>
      </c>
      <c r="H48" s="150" t="s">
        <v>274</v>
      </c>
      <c r="I48" s="150" t="s">
        <v>1822</v>
      </c>
      <c r="J48" s="2109" t="s">
        <v>89</v>
      </c>
      <c r="K48" s="2109"/>
      <c r="L48" s="48"/>
      <c r="M48" s="48"/>
      <c r="N48" s="48"/>
    </row>
    <row r="49" spans="1:15" x14ac:dyDescent="0.25">
      <c r="A49" s="48"/>
      <c r="B49" s="1025"/>
      <c r="C49" s="1025" t="s">
        <v>62</v>
      </c>
      <c r="D49" s="1105"/>
      <c r="E49" s="1027"/>
      <c r="F49" s="1027"/>
      <c r="G49" s="1027"/>
      <c r="H49" s="1027" t="s">
        <v>62</v>
      </c>
      <c r="I49" s="1026"/>
      <c r="J49" s="2103" t="str">
        <f>IF(OR(F49="",G49=""),"",IF(AND(F49&gt;=0.04*D49,G49&lt;8),"Yes",IF(AND(H49="Yes",I49&gt;=0.08*D49,I49&gt;2.3,G49&lt;8),"Yes","No")))</f>
        <v/>
      </c>
      <c r="K49" s="2103"/>
      <c r="L49" s="48"/>
      <c r="M49" s="48"/>
      <c r="N49" s="48"/>
      <c r="O49" s="37">
        <f>IF(J49="Yes",D49,0)</f>
        <v>0</v>
      </c>
    </row>
    <row r="50" spans="1:15" x14ac:dyDescent="0.25">
      <c r="A50" s="48"/>
      <c r="B50" s="1025"/>
      <c r="C50" s="1025" t="s">
        <v>62</v>
      </c>
      <c r="D50" s="1105"/>
      <c r="E50" s="1027"/>
      <c r="F50" s="1027"/>
      <c r="G50" s="1027"/>
      <c r="H50" s="1027" t="s">
        <v>62</v>
      </c>
      <c r="I50" s="1026"/>
      <c r="J50" s="2103" t="str">
        <f>IF(OR(F50="",G50=""),"",IF(AND(F50&gt;=0.04*D50,G50&lt;8),"Yes",IF(AND(H50="Yes",I50&gt;=0.08*D50,I50&gt;2.3,G50&lt;8),"Yes","No")))</f>
        <v/>
      </c>
      <c r="K50" s="2103"/>
      <c r="L50" s="48"/>
      <c r="M50" s="48"/>
      <c r="N50" s="48"/>
      <c r="O50" s="37">
        <f t="shared" ref="O50:O63" si="0">IF(J50="Yes",D50,0)</f>
        <v>0</v>
      </c>
    </row>
    <row r="51" spans="1:15" x14ac:dyDescent="0.25">
      <c r="A51" s="48"/>
      <c r="B51" s="1025"/>
      <c r="C51" s="1025" t="s">
        <v>62</v>
      </c>
      <c r="D51" s="1105"/>
      <c r="E51" s="1027"/>
      <c r="F51" s="1027"/>
      <c r="G51" s="1027"/>
      <c r="H51" s="1027" t="s">
        <v>62</v>
      </c>
      <c r="I51" s="1026"/>
      <c r="J51" s="2103" t="str">
        <f t="shared" ref="J51:J63" si="1">IF(OR(F51="",G51=""),"",IF(AND(F51&gt;=0.04*D51,G51&lt;8),"Yes",IF(AND(H51="Yes",I51&gt;=0.08*D51,I51&gt;2.3,G51&lt;8),"Yes","No")))</f>
        <v/>
      </c>
      <c r="K51" s="2103"/>
      <c r="L51" s="48"/>
      <c r="M51" s="48"/>
      <c r="N51" s="48"/>
      <c r="O51" s="37">
        <f t="shared" si="0"/>
        <v>0</v>
      </c>
    </row>
    <row r="52" spans="1:15" x14ac:dyDescent="0.25">
      <c r="A52" s="48"/>
      <c r="B52" s="1025"/>
      <c r="C52" s="1025" t="s">
        <v>62</v>
      </c>
      <c r="D52" s="1105"/>
      <c r="E52" s="1027"/>
      <c r="F52" s="1027"/>
      <c r="G52" s="1027"/>
      <c r="H52" s="1027" t="s">
        <v>62</v>
      </c>
      <c r="I52" s="1026"/>
      <c r="J52" s="2103" t="str">
        <f t="shared" ref="J52:J58" si="2">IF(OR(F52="",G52=""),"",IF(AND(F52&gt;=0.04*D52,G52&lt;8),"Yes",IF(AND(H52="Yes",I52&gt;=0.08*D52,I52&gt;2.3,G52&lt;8),"Yes","No")))</f>
        <v/>
      </c>
      <c r="K52" s="2103"/>
      <c r="L52" s="48"/>
      <c r="M52" s="48"/>
      <c r="N52" s="48"/>
      <c r="O52" s="37">
        <f t="shared" ref="O52:O58" si="3">IF(J52="Yes",D52,0)</f>
        <v>0</v>
      </c>
    </row>
    <row r="53" spans="1:15" x14ac:dyDescent="0.25">
      <c r="A53" s="48"/>
      <c r="B53" s="1025"/>
      <c r="C53" s="1025" t="s">
        <v>62</v>
      </c>
      <c r="D53" s="1105"/>
      <c r="E53" s="1027"/>
      <c r="F53" s="1027"/>
      <c r="G53" s="1027"/>
      <c r="H53" s="1027" t="s">
        <v>62</v>
      </c>
      <c r="I53" s="1026"/>
      <c r="J53" s="2103" t="str">
        <f t="shared" si="2"/>
        <v/>
      </c>
      <c r="K53" s="2103"/>
      <c r="L53" s="48"/>
      <c r="M53" s="48"/>
      <c r="N53" s="48"/>
      <c r="O53" s="37">
        <f t="shared" si="3"/>
        <v>0</v>
      </c>
    </row>
    <row r="54" spans="1:15" x14ac:dyDescent="0.25">
      <c r="A54" s="48"/>
      <c r="B54" s="1025"/>
      <c r="C54" s="1025" t="s">
        <v>62</v>
      </c>
      <c r="D54" s="1105"/>
      <c r="E54" s="1027"/>
      <c r="F54" s="1027"/>
      <c r="G54" s="1027"/>
      <c r="H54" s="1027" t="s">
        <v>62</v>
      </c>
      <c r="I54" s="1026"/>
      <c r="J54" s="2103" t="str">
        <f t="shared" si="2"/>
        <v/>
      </c>
      <c r="K54" s="2103"/>
      <c r="L54" s="48"/>
      <c r="M54" s="48"/>
      <c r="N54" s="48"/>
      <c r="O54" s="37">
        <f t="shared" si="3"/>
        <v>0</v>
      </c>
    </row>
    <row r="55" spans="1:15" x14ac:dyDescent="0.25">
      <c r="A55" s="48"/>
      <c r="B55" s="1025"/>
      <c r="C55" s="1025" t="s">
        <v>62</v>
      </c>
      <c r="D55" s="1105"/>
      <c r="E55" s="1027"/>
      <c r="F55" s="1027"/>
      <c r="G55" s="1027"/>
      <c r="H55" s="1027" t="s">
        <v>62</v>
      </c>
      <c r="I55" s="1026"/>
      <c r="J55" s="2103" t="str">
        <f t="shared" si="2"/>
        <v/>
      </c>
      <c r="K55" s="2103"/>
      <c r="L55" s="48"/>
      <c r="M55" s="48"/>
      <c r="N55" s="48"/>
      <c r="O55" s="37">
        <f t="shared" si="3"/>
        <v>0</v>
      </c>
    </row>
    <row r="56" spans="1:15" x14ac:dyDescent="0.25">
      <c r="A56" s="48"/>
      <c r="B56" s="1025"/>
      <c r="C56" s="1025" t="s">
        <v>62</v>
      </c>
      <c r="D56" s="1105"/>
      <c r="E56" s="1027"/>
      <c r="F56" s="1027"/>
      <c r="G56" s="1027"/>
      <c r="H56" s="1027" t="s">
        <v>62</v>
      </c>
      <c r="I56" s="1026"/>
      <c r="J56" s="2103" t="str">
        <f t="shared" si="2"/>
        <v/>
      </c>
      <c r="K56" s="2103"/>
      <c r="L56" s="48"/>
      <c r="M56" s="48"/>
      <c r="N56" s="48"/>
      <c r="O56" s="37">
        <f t="shared" si="3"/>
        <v>0</v>
      </c>
    </row>
    <row r="57" spans="1:15" x14ac:dyDescent="0.25">
      <c r="A57" s="48"/>
      <c r="B57" s="1025"/>
      <c r="C57" s="1025" t="s">
        <v>62</v>
      </c>
      <c r="D57" s="1105"/>
      <c r="E57" s="1027"/>
      <c r="F57" s="1027"/>
      <c r="G57" s="1027"/>
      <c r="H57" s="1027" t="s">
        <v>62</v>
      </c>
      <c r="I57" s="1026"/>
      <c r="J57" s="2103" t="str">
        <f t="shared" si="2"/>
        <v/>
      </c>
      <c r="K57" s="2103"/>
      <c r="L57" s="48"/>
      <c r="M57" s="48"/>
      <c r="N57" s="48"/>
      <c r="O57" s="37">
        <f t="shared" si="3"/>
        <v>0</v>
      </c>
    </row>
    <row r="58" spans="1:15" x14ac:dyDescent="0.25">
      <c r="A58" s="48"/>
      <c r="B58" s="1025"/>
      <c r="C58" s="1025" t="s">
        <v>62</v>
      </c>
      <c r="D58" s="1105"/>
      <c r="E58" s="1027"/>
      <c r="F58" s="1027"/>
      <c r="G58" s="1027"/>
      <c r="H58" s="1027" t="s">
        <v>62</v>
      </c>
      <c r="I58" s="1026"/>
      <c r="J58" s="2103" t="str">
        <f t="shared" si="2"/>
        <v/>
      </c>
      <c r="K58" s="2103"/>
      <c r="L58" s="48"/>
      <c r="M58" s="48"/>
      <c r="N58" s="48"/>
      <c r="O58" s="37">
        <f t="shared" si="3"/>
        <v>0</v>
      </c>
    </row>
    <row r="59" spans="1:15" x14ac:dyDescent="0.25">
      <c r="A59" s="48"/>
      <c r="B59" s="1025"/>
      <c r="C59" s="1025" t="s">
        <v>62</v>
      </c>
      <c r="D59" s="1105"/>
      <c r="E59" s="1027"/>
      <c r="F59" s="1027"/>
      <c r="G59" s="1027"/>
      <c r="H59" s="1027" t="s">
        <v>62</v>
      </c>
      <c r="I59" s="1026"/>
      <c r="J59" s="2103" t="str">
        <f t="shared" si="1"/>
        <v/>
      </c>
      <c r="K59" s="2103"/>
      <c r="L59" s="48"/>
      <c r="M59" s="48"/>
      <c r="N59" s="48"/>
      <c r="O59" s="37">
        <f t="shared" si="0"/>
        <v>0</v>
      </c>
    </row>
    <row r="60" spans="1:15" x14ac:dyDescent="0.25">
      <c r="A60" s="48"/>
      <c r="B60" s="1025"/>
      <c r="C60" s="1025" t="s">
        <v>62</v>
      </c>
      <c r="D60" s="1105"/>
      <c r="E60" s="1027"/>
      <c r="F60" s="1027"/>
      <c r="G60" s="1027"/>
      <c r="H60" s="1027" t="s">
        <v>62</v>
      </c>
      <c r="I60" s="1026"/>
      <c r="J60" s="2103" t="str">
        <f t="shared" si="1"/>
        <v/>
      </c>
      <c r="K60" s="2103"/>
      <c r="L60" s="48"/>
      <c r="M60" s="48"/>
      <c r="N60" s="48"/>
      <c r="O60" s="37">
        <f t="shared" si="0"/>
        <v>0</v>
      </c>
    </row>
    <row r="61" spans="1:15" x14ac:dyDescent="0.25">
      <c r="A61" s="48"/>
      <c r="B61" s="1025"/>
      <c r="C61" s="1025" t="s">
        <v>62</v>
      </c>
      <c r="D61" s="1105"/>
      <c r="E61" s="1027"/>
      <c r="F61" s="1027"/>
      <c r="G61" s="1027"/>
      <c r="H61" s="1027" t="s">
        <v>62</v>
      </c>
      <c r="I61" s="1026"/>
      <c r="J61" s="2103" t="str">
        <f t="shared" si="1"/>
        <v/>
      </c>
      <c r="K61" s="2103"/>
      <c r="L61" s="48"/>
      <c r="M61" s="48"/>
      <c r="N61" s="48"/>
      <c r="O61" s="37">
        <f t="shared" si="0"/>
        <v>0</v>
      </c>
    </row>
    <row r="62" spans="1:15" x14ac:dyDescent="0.25">
      <c r="A62" s="48"/>
      <c r="B62" s="1025"/>
      <c r="C62" s="1025" t="s">
        <v>62</v>
      </c>
      <c r="D62" s="1105"/>
      <c r="E62" s="107"/>
      <c r="F62" s="107"/>
      <c r="G62" s="107"/>
      <c r="H62" s="1027" t="s">
        <v>62</v>
      </c>
      <c r="I62" s="154"/>
      <c r="J62" s="2103" t="str">
        <f t="shared" si="1"/>
        <v/>
      </c>
      <c r="K62" s="2103"/>
      <c r="L62" s="48"/>
      <c r="M62" s="48"/>
      <c r="N62" s="48"/>
      <c r="O62" s="37">
        <f t="shared" si="0"/>
        <v>0</v>
      </c>
    </row>
    <row r="63" spans="1:15" x14ac:dyDescent="0.25">
      <c r="A63" s="48"/>
      <c r="B63" s="1025"/>
      <c r="C63" s="1025" t="s">
        <v>62</v>
      </c>
      <c r="D63" s="1105"/>
      <c r="E63" s="107"/>
      <c r="F63" s="107"/>
      <c r="G63" s="107"/>
      <c r="H63" s="1027" t="s">
        <v>62</v>
      </c>
      <c r="I63" s="154"/>
      <c r="J63" s="2103" t="str">
        <f t="shared" si="1"/>
        <v/>
      </c>
      <c r="K63" s="2103"/>
      <c r="L63" s="48"/>
      <c r="M63" s="48"/>
      <c r="N63" s="48"/>
      <c r="O63" s="37">
        <f t="shared" si="0"/>
        <v>0</v>
      </c>
    </row>
    <row r="64" spans="1:15" ht="20.25" customHeight="1" x14ac:dyDescent="0.25">
      <c r="A64" s="48"/>
      <c r="B64" s="121"/>
      <c r="C64" s="49"/>
      <c r="D64" s="49"/>
      <c r="E64" s="49"/>
      <c r="F64" s="48"/>
      <c r="G64" s="48"/>
      <c r="H64" s="48"/>
      <c r="I64" s="48"/>
      <c r="J64" s="48"/>
      <c r="K64" s="48"/>
      <c r="L64" s="48"/>
      <c r="M64" s="48"/>
    </row>
    <row r="65" spans="1:15" x14ac:dyDescent="0.25">
      <c r="A65" s="48"/>
      <c r="B65" s="1900" t="s">
        <v>2005</v>
      </c>
      <c r="C65" s="1900"/>
      <c r="D65" s="1900"/>
      <c r="E65" s="1900"/>
      <c r="F65" s="1900"/>
      <c r="G65" s="1900"/>
      <c r="H65" s="1900"/>
      <c r="I65" s="48"/>
      <c r="J65" s="48"/>
      <c r="K65" s="48"/>
      <c r="L65" s="48"/>
      <c r="M65" s="48"/>
    </row>
    <row r="66" spans="1:15" ht="12" customHeight="1" x14ac:dyDescent="0.25">
      <c r="A66" s="48"/>
      <c r="B66" s="49"/>
      <c r="C66" s="49"/>
      <c r="D66" s="49"/>
      <c r="E66" s="49"/>
      <c r="F66" s="48"/>
      <c r="G66" s="48"/>
      <c r="H66" s="48"/>
      <c r="I66" s="48"/>
      <c r="J66" s="48"/>
      <c r="K66" s="48"/>
      <c r="L66" s="48"/>
      <c r="M66" s="48"/>
    </row>
    <row r="67" spans="1:15" x14ac:dyDescent="0.25">
      <c r="A67" s="48"/>
      <c r="B67" s="121" t="s">
        <v>1827</v>
      </c>
      <c r="C67" s="49"/>
      <c r="D67" s="49"/>
      <c r="E67" s="49"/>
      <c r="F67" s="48"/>
      <c r="G67" s="48"/>
      <c r="H67" s="48"/>
      <c r="I67" s="48"/>
      <c r="J67" s="48"/>
      <c r="K67" s="48"/>
      <c r="L67" s="48"/>
      <c r="M67" s="48"/>
    </row>
    <row r="68" spans="1:15" ht="28.5" customHeight="1" x14ac:dyDescent="0.25">
      <c r="A68" s="48"/>
      <c r="B68" s="1038" t="s">
        <v>716</v>
      </c>
      <c r="C68" s="1031" t="s">
        <v>165</v>
      </c>
      <c r="D68" s="1031" t="s">
        <v>1015</v>
      </c>
      <c r="E68" s="1031" t="s">
        <v>1828</v>
      </c>
      <c r="F68" s="2110" t="s">
        <v>15</v>
      </c>
      <c r="G68" s="2110"/>
      <c r="H68" s="48"/>
      <c r="I68" s="48"/>
      <c r="J68" s="48"/>
      <c r="K68" s="48"/>
      <c r="L68" s="48"/>
      <c r="M68" s="48"/>
    </row>
    <row r="69" spans="1:15" ht="16.5" customHeight="1" x14ac:dyDescent="0.25">
      <c r="A69" s="48"/>
      <c r="B69" s="1025"/>
      <c r="C69" s="1025" t="s">
        <v>62</v>
      </c>
      <c r="D69" s="1027"/>
      <c r="E69" s="1025" t="s">
        <v>62</v>
      </c>
      <c r="F69" s="1625"/>
      <c r="G69" s="1626"/>
      <c r="H69" s="48"/>
      <c r="I69" s="48"/>
      <c r="J69" s="48"/>
      <c r="K69" s="48"/>
      <c r="L69" s="48"/>
      <c r="M69" s="48"/>
      <c r="O69" s="37">
        <f>IF(E69="Other standard",IF(F69&lt;&gt;"",D69,0),IF(AND(E69&lt;&gt;"",E69&lt;&gt;"Select"),D69,0))</f>
        <v>0</v>
      </c>
    </row>
    <row r="70" spans="1:15" ht="16.5" customHeight="1" x14ac:dyDescent="0.25">
      <c r="A70" s="48"/>
      <c r="B70" s="1025"/>
      <c r="C70" s="1025" t="s">
        <v>62</v>
      </c>
      <c r="D70" s="1027"/>
      <c r="E70" s="1025" t="s">
        <v>62</v>
      </c>
      <c r="F70" s="1625"/>
      <c r="G70" s="1626"/>
      <c r="H70" s="48"/>
      <c r="I70" s="48"/>
      <c r="J70" s="48"/>
      <c r="K70" s="48"/>
      <c r="L70" s="48"/>
      <c r="M70" s="48"/>
      <c r="O70" s="37">
        <f t="shared" ref="O70:O83" si="4">IF(E70="Other standard",IF(F70&lt;&gt;"",D70,0),IF(AND(E70&lt;&gt;"",E70&lt;&gt;"Select"),D70,0))</f>
        <v>0</v>
      </c>
    </row>
    <row r="71" spans="1:15" ht="16.5" customHeight="1" x14ac:dyDescent="0.25">
      <c r="A71" s="48"/>
      <c r="B71" s="1025"/>
      <c r="C71" s="1025" t="s">
        <v>62</v>
      </c>
      <c r="D71" s="1027"/>
      <c r="E71" s="1025" t="s">
        <v>62</v>
      </c>
      <c r="F71" s="1625"/>
      <c r="G71" s="1626"/>
      <c r="H71" s="153"/>
      <c r="I71" s="48"/>
      <c r="J71" s="48"/>
      <c r="K71" s="48"/>
      <c r="L71" s="48"/>
      <c r="M71" s="48"/>
      <c r="O71" s="37">
        <f t="shared" si="4"/>
        <v>0</v>
      </c>
    </row>
    <row r="72" spans="1:15" ht="16.5" customHeight="1" x14ac:dyDescent="0.25">
      <c r="A72" s="48"/>
      <c r="B72" s="1025"/>
      <c r="C72" s="1025" t="s">
        <v>62</v>
      </c>
      <c r="D72" s="1027"/>
      <c r="E72" s="1025" t="s">
        <v>62</v>
      </c>
      <c r="F72" s="1625"/>
      <c r="G72" s="1626"/>
      <c r="H72" s="153"/>
      <c r="I72" s="48"/>
      <c r="J72" s="48"/>
      <c r="K72" s="48"/>
      <c r="L72" s="48"/>
      <c r="M72" s="48"/>
      <c r="O72" s="37">
        <f t="shared" si="4"/>
        <v>0</v>
      </c>
    </row>
    <row r="73" spans="1:15" ht="16.5" customHeight="1" x14ac:dyDescent="0.25">
      <c r="A73" s="48"/>
      <c r="B73" s="1025"/>
      <c r="C73" s="1025" t="s">
        <v>62</v>
      </c>
      <c r="D73" s="1027"/>
      <c r="E73" s="1025" t="s">
        <v>62</v>
      </c>
      <c r="F73" s="1625"/>
      <c r="G73" s="1626"/>
      <c r="H73" s="153"/>
      <c r="I73" s="48"/>
      <c r="J73" s="48"/>
      <c r="K73" s="48"/>
      <c r="L73" s="48"/>
      <c r="M73" s="48"/>
      <c r="O73" s="37">
        <f t="shared" si="4"/>
        <v>0</v>
      </c>
    </row>
    <row r="74" spans="1:15" ht="16.5" customHeight="1" x14ac:dyDescent="0.25">
      <c r="A74" s="48"/>
      <c r="B74" s="1025"/>
      <c r="C74" s="1025" t="s">
        <v>62</v>
      </c>
      <c r="D74" s="1027"/>
      <c r="E74" s="1025" t="s">
        <v>62</v>
      </c>
      <c r="F74" s="1625"/>
      <c r="G74" s="1626"/>
      <c r="H74" s="153"/>
      <c r="I74" s="48"/>
      <c r="J74" s="48"/>
      <c r="K74" s="48"/>
      <c r="L74" s="48"/>
      <c r="M74" s="48"/>
      <c r="O74" s="37">
        <f t="shared" si="4"/>
        <v>0</v>
      </c>
    </row>
    <row r="75" spans="1:15" ht="16.5" customHeight="1" x14ac:dyDescent="0.25">
      <c r="A75" s="48"/>
      <c r="B75" s="1025"/>
      <c r="C75" s="1025" t="s">
        <v>62</v>
      </c>
      <c r="D75" s="1027"/>
      <c r="E75" s="1025" t="s">
        <v>62</v>
      </c>
      <c r="F75" s="1625"/>
      <c r="G75" s="1626"/>
      <c r="H75" s="153"/>
      <c r="I75" s="48"/>
      <c r="J75" s="48"/>
      <c r="K75" s="48"/>
      <c r="L75" s="48"/>
      <c r="M75" s="48"/>
      <c r="O75" s="37">
        <f t="shared" si="4"/>
        <v>0</v>
      </c>
    </row>
    <row r="76" spans="1:15" ht="16.5" customHeight="1" x14ac:dyDescent="0.25">
      <c r="A76" s="48"/>
      <c r="B76" s="1025"/>
      <c r="C76" s="1025" t="s">
        <v>62</v>
      </c>
      <c r="D76" s="1027"/>
      <c r="E76" s="1025" t="s">
        <v>62</v>
      </c>
      <c r="F76" s="1625"/>
      <c r="G76" s="1626"/>
      <c r="H76" s="153"/>
      <c r="I76" s="48"/>
      <c r="J76" s="48"/>
      <c r="K76" s="48"/>
      <c r="L76" s="48"/>
      <c r="M76" s="48"/>
      <c r="O76" s="37">
        <f t="shared" si="4"/>
        <v>0</v>
      </c>
    </row>
    <row r="77" spans="1:15" ht="16.5" customHeight="1" x14ac:dyDescent="0.25">
      <c r="A77" s="48"/>
      <c r="B77" s="1025"/>
      <c r="C77" s="1025" t="s">
        <v>62</v>
      </c>
      <c r="D77" s="1027"/>
      <c r="E77" s="1025" t="s">
        <v>62</v>
      </c>
      <c r="F77" s="1625"/>
      <c r="G77" s="1626"/>
      <c r="H77" s="48"/>
      <c r="I77" s="48"/>
      <c r="J77" s="48"/>
      <c r="K77" s="48"/>
      <c r="L77" s="48"/>
      <c r="M77" s="48"/>
      <c r="O77" s="37">
        <f t="shared" si="4"/>
        <v>0</v>
      </c>
    </row>
    <row r="78" spans="1:15" ht="16.5" customHeight="1" x14ac:dyDescent="0.25">
      <c r="A78" s="48"/>
      <c r="B78" s="1025"/>
      <c r="C78" s="1025" t="s">
        <v>62</v>
      </c>
      <c r="D78" s="1027"/>
      <c r="E78" s="1025" t="s">
        <v>62</v>
      </c>
      <c r="F78" s="1625"/>
      <c r="G78" s="1626"/>
      <c r="H78" s="48"/>
      <c r="I78" s="48"/>
      <c r="J78" s="48"/>
      <c r="K78" s="48"/>
      <c r="L78" s="48"/>
      <c r="M78" s="48"/>
      <c r="O78" s="37">
        <f t="shared" si="4"/>
        <v>0</v>
      </c>
    </row>
    <row r="79" spans="1:15" ht="16.5" customHeight="1" x14ac:dyDescent="0.25">
      <c r="A79" s="48"/>
      <c r="B79" s="1025"/>
      <c r="C79" s="1025" t="s">
        <v>62</v>
      </c>
      <c r="D79" s="1027"/>
      <c r="E79" s="1025" t="s">
        <v>62</v>
      </c>
      <c r="F79" s="1625"/>
      <c r="G79" s="1626"/>
      <c r="H79" s="48"/>
      <c r="I79" s="48"/>
      <c r="J79" s="48"/>
      <c r="K79" s="48"/>
      <c r="L79" s="48"/>
      <c r="M79" s="48"/>
      <c r="O79" s="37">
        <f t="shared" si="4"/>
        <v>0</v>
      </c>
    </row>
    <row r="80" spans="1:15" ht="16.5" customHeight="1" x14ac:dyDescent="0.25">
      <c r="A80" s="48"/>
      <c r="B80" s="1025"/>
      <c r="C80" s="1025" t="s">
        <v>62</v>
      </c>
      <c r="D80" s="1027"/>
      <c r="E80" s="1025" t="s">
        <v>62</v>
      </c>
      <c r="F80" s="1625"/>
      <c r="G80" s="1626"/>
      <c r="H80" s="48"/>
      <c r="I80" s="48"/>
      <c r="J80" s="48"/>
      <c r="K80" s="48"/>
      <c r="L80" s="48"/>
      <c r="M80" s="48"/>
      <c r="O80" s="37">
        <f t="shared" si="4"/>
        <v>0</v>
      </c>
    </row>
    <row r="81" spans="1:15" ht="16.5" customHeight="1" x14ac:dyDescent="0.25">
      <c r="A81" s="48"/>
      <c r="B81" s="1025"/>
      <c r="C81" s="1025" t="s">
        <v>62</v>
      </c>
      <c r="D81" s="1027"/>
      <c r="E81" s="1025" t="s">
        <v>62</v>
      </c>
      <c r="F81" s="1625"/>
      <c r="G81" s="1626"/>
      <c r="H81" s="48"/>
      <c r="I81" s="48"/>
      <c r="J81" s="48"/>
      <c r="K81" s="48"/>
      <c r="L81" s="48"/>
      <c r="M81" s="48"/>
      <c r="O81" s="37">
        <f t="shared" si="4"/>
        <v>0</v>
      </c>
    </row>
    <row r="82" spans="1:15" ht="16.5" customHeight="1" x14ac:dyDescent="0.25">
      <c r="A82" s="48"/>
      <c r="B82" s="1025"/>
      <c r="C82" s="1025" t="s">
        <v>62</v>
      </c>
      <c r="D82" s="1027"/>
      <c r="E82" s="1025" t="s">
        <v>62</v>
      </c>
      <c r="F82" s="1625"/>
      <c r="G82" s="1626"/>
      <c r="H82" s="48"/>
      <c r="I82" s="48"/>
      <c r="J82" s="48"/>
      <c r="K82" s="48"/>
      <c r="L82" s="48"/>
      <c r="M82" s="48"/>
      <c r="O82" s="37">
        <f t="shared" si="4"/>
        <v>0</v>
      </c>
    </row>
    <row r="83" spans="1:15" ht="16.5" customHeight="1" x14ac:dyDescent="0.25">
      <c r="A83" s="48"/>
      <c r="B83" s="1025"/>
      <c r="C83" s="1025" t="s">
        <v>62</v>
      </c>
      <c r="D83" s="1027"/>
      <c r="E83" s="1025" t="s">
        <v>62</v>
      </c>
      <c r="F83" s="1625"/>
      <c r="G83" s="1626"/>
      <c r="H83" s="48"/>
      <c r="I83" s="48"/>
      <c r="J83" s="48"/>
      <c r="K83" s="48"/>
      <c r="L83" s="48"/>
      <c r="M83" s="48"/>
      <c r="O83" s="37">
        <f t="shared" si="4"/>
        <v>0</v>
      </c>
    </row>
    <row r="84" spans="1:15" ht="19.5" customHeight="1" x14ac:dyDescent="0.25">
      <c r="A84" s="48"/>
      <c r="B84" s="49"/>
      <c r="C84" s="49"/>
      <c r="D84" s="49"/>
      <c r="E84" s="49"/>
      <c r="F84" s="49"/>
      <c r="G84" s="48"/>
      <c r="H84" s="48"/>
      <c r="I84" s="48"/>
      <c r="J84" s="48"/>
      <c r="K84" s="48"/>
      <c r="L84" s="48"/>
      <c r="M84" s="48"/>
    </row>
    <row r="85" spans="1:15" ht="18.75" customHeight="1" x14ac:dyDescent="0.25">
      <c r="A85" s="48"/>
      <c r="B85" s="2102" t="s">
        <v>762</v>
      </c>
      <c r="C85" s="2102"/>
      <c r="D85" s="70">
        <f>IFERROR((SUM(O49:O63)+SUM(O69:O83))/(SUM(D49:D63)+SUM(D69:D83)),0)</f>
        <v>0</v>
      </c>
      <c r="E85" s="49"/>
      <c r="F85" s="48"/>
      <c r="G85" s="48"/>
      <c r="H85" s="48"/>
      <c r="I85" s="48"/>
      <c r="J85" s="48"/>
      <c r="K85" s="48"/>
      <c r="L85" s="48"/>
      <c r="M85" s="48"/>
    </row>
    <row r="86" spans="1:15" ht="19.5" customHeight="1" x14ac:dyDescent="0.25">
      <c r="A86" s="48"/>
      <c r="B86" s="121"/>
      <c r="C86" s="49"/>
      <c r="D86" s="49"/>
      <c r="E86" s="49"/>
      <c r="F86" s="48"/>
      <c r="G86" s="48"/>
      <c r="H86" s="48"/>
      <c r="I86" s="48"/>
      <c r="J86" s="48"/>
      <c r="K86" s="48"/>
      <c r="L86" s="48"/>
      <c r="M86" s="48"/>
    </row>
    <row r="87" spans="1:15" ht="18" customHeight="1" x14ac:dyDescent="0.25">
      <c r="A87" s="2092" t="s">
        <v>97</v>
      </c>
      <c r="B87" s="2092"/>
      <c r="C87" s="2092"/>
      <c r="D87" s="2092"/>
      <c r="E87" s="2092"/>
      <c r="F87" s="2092"/>
      <c r="G87" s="2092"/>
      <c r="H87" s="2092"/>
      <c r="I87" s="2092"/>
      <c r="J87" s="2092"/>
      <c r="K87" s="2092"/>
      <c r="L87" s="2092"/>
      <c r="M87" s="2092"/>
    </row>
    <row r="88" spans="1:15" x14ac:dyDescent="0.25">
      <c r="A88" s="48"/>
      <c r="B88" s="49"/>
      <c r="C88" s="49"/>
      <c r="D88" s="49"/>
      <c r="E88" s="48"/>
      <c r="F88" s="48"/>
      <c r="G88" s="48"/>
      <c r="H88" s="48"/>
      <c r="I88" s="48"/>
      <c r="J88" s="48"/>
      <c r="K88" s="48"/>
      <c r="L88" s="48"/>
      <c r="M88" s="48"/>
    </row>
    <row r="89" spans="1:15" ht="21" customHeight="1" x14ac:dyDescent="0.25">
      <c r="A89" s="48"/>
      <c r="B89" s="2093" t="s">
        <v>2371</v>
      </c>
      <c r="C89" s="2094"/>
      <c r="D89" s="2094"/>
      <c r="E89" s="2094"/>
      <c r="F89" s="2094"/>
      <c r="G89" s="256" t="s">
        <v>1297</v>
      </c>
      <c r="H89" s="2095" t="s">
        <v>1298</v>
      </c>
      <c r="I89" s="2095"/>
      <c r="J89" s="48"/>
      <c r="K89" s="48"/>
      <c r="L89" s="48"/>
      <c r="M89" s="48"/>
    </row>
    <row r="90" spans="1:15" ht="24" customHeight="1" x14ac:dyDescent="0.25">
      <c r="A90" s="48"/>
      <c r="B90" s="1644" t="str">
        <f>Submittals!H82</f>
        <v>Select the Submission Stage in Project Information</v>
      </c>
      <c r="C90" s="1645"/>
      <c r="D90" s="1645"/>
      <c r="E90" s="1645"/>
      <c r="F90" s="1645"/>
      <c r="G90" s="810" t="s">
        <v>62</v>
      </c>
      <c r="H90" s="1625"/>
      <c r="I90" s="1626"/>
      <c r="J90" s="48"/>
      <c r="K90" s="48"/>
      <c r="L90" s="48"/>
      <c r="M90" s="48"/>
      <c r="N90" s="37" t="str">
        <f>IF(AND($D$41&lt;&gt;"Yes",$D$43&lt;&gt;"Yes"),"Yes",IF(OR(B90="/",B90="No evidence required at this submission stage"),"Yes",IF(G90="Submitted","Yes","No")))</f>
        <v>Yes</v>
      </c>
    </row>
    <row r="91" spans="1:15" ht="24" customHeight="1" x14ac:dyDescent="0.25">
      <c r="A91" s="48"/>
      <c r="B91" s="1644" t="str">
        <f>Submittals!H83</f>
        <v>Select the Submission Stage in Project Information</v>
      </c>
      <c r="C91" s="1645"/>
      <c r="D91" s="1645"/>
      <c r="E91" s="1645"/>
      <c r="F91" s="1645"/>
      <c r="G91" s="810" t="s">
        <v>62</v>
      </c>
      <c r="H91" s="1625"/>
      <c r="I91" s="1626"/>
      <c r="J91" s="48"/>
      <c r="K91" s="48"/>
      <c r="L91" s="48"/>
      <c r="M91" s="48"/>
      <c r="N91" s="37" t="str">
        <f>IF(AND($D$41&lt;&gt;"Yes",$D$43&lt;&gt;"Yes"),"Yes",IF(OR(B91="/",B91="No evidence required at this submission stage"),"Yes",IF(G91="Submitted","Yes","No")))</f>
        <v>Yes</v>
      </c>
    </row>
    <row r="92" spans="1:15" x14ac:dyDescent="0.25">
      <c r="A92" s="48"/>
      <c r="B92" s="48"/>
      <c r="C92" s="48"/>
      <c r="D92" s="48"/>
      <c r="E92" s="48"/>
      <c r="F92" s="48"/>
      <c r="G92" s="48"/>
      <c r="H92" s="48"/>
      <c r="I92" s="48"/>
      <c r="J92" s="48"/>
      <c r="K92" s="48"/>
      <c r="L92" s="48"/>
      <c r="M92" s="48"/>
    </row>
    <row r="93" spans="1:15" ht="21" customHeight="1" x14ac:dyDescent="0.25">
      <c r="A93" s="48"/>
      <c r="B93" s="2093" t="s">
        <v>2370</v>
      </c>
      <c r="C93" s="2094"/>
      <c r="D93" s="2094"/>
      <c r="E93" s="2094"/>
      <c r="F93" s="2094"/>
      <c r="G93" s="1030" t="s">
        <v>1297</v>
      </c>
      <c r="H93" s="2095" t="s">
        <v>1298</v>
      </c>
      <c r="I93" s="2095"/>
      <c r="J93" s="48"/>
      <c r="K93" s="48"/>
      <c r="L93" s="48"/>
      <c r="M93" s="48"/>
    </row>
    <row r="94" spans="1:15" ht="24" customHeight="1" x14ac:dyDescent="0.25">
      <c r="A94" s="48"/>
      <c r="B94" s="1644" t="str">
        <f>Submittals!H84</f>
        <v>Select the Submission Stage in Project Information</v>
      </c>
      <c r="C94" s="1645" t="s">
        <v>761</v>
      </c>
      <c r="D94" s="1645"/>
      <c r="E94" s="1645"/>
      <c r="F94" s="1645"/>
      <c r="G94" s="1025" t="s">
        <v>62</v>
      </c>
      <c r="H94" s="1625"/>
      <c r="I94" s="1626"/>
      <c r="J94" s="48"/>
      <c r="K94" s="48"/>
      <c r="L94" s="48"/>
      <c r="M94" s="48"/>
      <c r="N94" s="37" t="str">
        <f>IF(AND($D$42&lt;&gt;"Yes",$D$43&lt;&gt;"Yes"),"Yes",IF(OR(B94="/",B94="No evidence required at this submission stage"),"Yes",IF(G94="Submitted","Yes","No")))</f>
        <v>No</v>
      </c>
    </row>
    <row r="95" spans="1:15" ht="30" customHeight="1" x14ac:dyDescent="0.25">
      <c r="A95" s="48"/>
      <c r="B95" s="1644" t="str">
        <f>Submittals!H85</f>
        <v>Select the Submission Stage in Project Information</v>
      </c>
      <c r="C95" s="1645" t="s">
        <v>761</v>
      </c>
      <c r="D95" s="1645"/>
      <c r="E95" s="1645"/>
      <c r="F95" s="1645"/>
      <c r="G95" s="1251" t="s">
        <v>62</v>
      </c>
      <c r="H95" s="1625"/>
      <c r="I95" s="1626"/>
      <c r="J95" s="48"/>
      <c r="K95" s="48"/>
      <c r="L95" s="48"/>
      <c r="M95" s="48"/>
      <c r="N95" s="37" t="str">
        <f>IF(AND($D$42&lt;&gt;"Yes",$D$43&lt;&gt;"Yes"),"Yes",IF(OR(B95="/",B95="No evidence required at this submission stage"),"Yes",IF(G95="Submitted","Yes","No")))</f>
        <v>No</v>
      </c>
    </row>
    <row r="96" spans="1:15" ht="39" customHeight="1" x14ac:dyDescent="0.25">
      <c r="A96" s="48"/>
      <c r="B96" s="1644" t="str">
        <f>Submittals!H86</f>
        <v>Select the Submission Stage in Project Information</v>
      </c>
      <c r="C96" s="1645" t="s">
        <v>761</v>
      </c>
      <c r="D96" s="1645"/>
      <c r="E96" s="1645"/>
      <c r="F96" s="1645"/>
      <c r="G96" s="1251" t="s">
        <v>62</v>
      </c>
      <c r="H96" s="1625"/>
      <c r="I96" s="1626"/>
      <c r="J96" s="48"/>
      <c r="K96" s="48"/>
      <c r="L96" s="48"/>
      <c r="M96" s="48"/>
      <c r="N96" s="37" t="str">
        <f>IF(AND($D$42&lt;&gt;"Yes",$D$43&lt;&gt;"Yes"),"Yes",IF(OR(B96="/",B96="No evidence required at this submission stage"),"Yes",IF(OR(G96="Already approved at PC",G96="Submitted"),"Yes","No")))</f>
        <v>No</v>
      </c>
    </row>
    <row r="97" spans="1:13" ht="19.5" customHeight="1" x14ac:dyDescent="0.25">
      <c r="A97" s="48"/>
      <c r="B97" s="49"/>
      <c r="C97" s="49"/>
      <c r="D97" s="49"/>
      <c r="E97" s="48"/>
      <c r="F97" s="48"/>
      <c r="G97" s="48"/>
      <c r="H97" s="48"/>
      <c r="I97" s="48"/>
      <c r="J97" s="48"/>
      <c r="K97" s="48"/>
      <c r="L97" s="48"/>
      <c r="M97" s="48"/>
    </row>
    <row r="98" spans="1:13" ht="18" customHeight="1" x14ac:dyDescent="0.25">
      <c r="A98" s="2092" t="s">
        <v>8</v>
      </c>
      <c r="B98" s="2092"/>
      <c r="C98" s="2092"/>
      <c r="D98" s="2092"/>
      <c r="E98" s="2092"/>
      <c r="F98" s="2092"/>
      <c r="G98" s="2092"/>
      <c r="H98" s="2092"/>
      <c r="I98" s="2092"/>
      <c r="J98" s="2092"/>
      <c r="K98" s="2092"/>
      <c r="L98" s="2092"/>
      <c r="M98" s="2092"/>
    </row>
    <row r="99" spans="1:13" ht="16.5" customHeight="1" x14ac:dyDescent="0.25">
      <c r="A99" s="48"/>
      <c r="B99" s="49"/>
      <c r="C99" s="49"/>
      <c r="D99" s="49"/>
      <c r="E99" s="49"/>
      <c r="F99" s="48"/>
      <c r="G99" s="48"/>
      <c r="H99" s="48"/>
      <c r="I99" s="48"/>
      <c r="J99" s="48"/>
      <c r="K99" s="48"/>
      <c r="L99" s="48"/>
      <c r="M99" s="48"/>
    </row>
    <row r="100" spans="1:13" ht="18" customHeight="1" x14ac:dyDescent="0.25">
      <c r="A100" s="48"/>
      <c r="B100" s="115" t="s">
        <v>19</v>
      </c>
      <c r="C100" s="116">
        <f>IF(AND(D41&lt;&gt;"Yes",D42&lt;&gt;"Yes",D43&lt;&gt;"Yes"),0,IF(D85&gt;=0.95,2,0))</f>
        <v>0</v>
      </c>
      <c r="D100" s="49"/>
      <c r="E100" s="48"/>
      <c r="F100" s="48"/>
      <c r="G100" s="48"/>
      <c r="H100" s="48"/>
      <c r="I100" s="48"/>
      <c r="J100" s="48"/>
      <c r="K100" s="48"/>
      <c r="L100" s="48"/>
      <c r="M100" s="48"/>
    </row>
    <row r="101" spans="1:13" ht="18" customHeight="1" x14ac:dyDescent="0.25">
      <c r="A101" s="48"/>
      <c r="B101" s="117" t="s">
        <v>151</v>
      </c>
      <c r="C101" s="118" t="str">
        <f>IF(AND(COUNTIF(N90:N96,"Yes")=5,C100&gt;0),"Yes","No")</f>
        <v>No</v>
      </c>
      <c r="D101" s="49"/>
      <c r="E101" s="49"/>
      <c r="F101" s="48"/>
      <c r="G101" s="48"/>
      <c r="H101" s="48"/>
      <c r="I101" s="48"/>
      <c r="J101" s="48"/>
      <c r="K101" s="48"/>
      <c r="L101" s="48"/>
      <c r="M101" s="48"/>
    </row>
    <row r="102" spans="1:13" ht="18" customHeight="1" x14ac:dyDescent="0.25">
      <c r="A102" s="48"/>
      <c r="B102" s="49"/>
      <c r="C102" s="49"/>
      <c r="D102" s="49"/>
      <c r="E102" s="49"/>
      <c r="F102" s="48"/>
      <c r="G102" s="48"/>
      <c r="H102" s="48"/>
      <c r="I102" s="48"/>
      <c r="J102" s="48"/>
      <c r="K102" s="48"/>
      <c r="L102" s="48"/>
      <c r="M102" s="48"/>
    </row>
    <row r="103" spans="1:13" hidden="1" x14ac:dyDescent="0.25">
      <c r="K103" s="48"/>
      <c r="L103" s="48"/>
      <c r="M103" s="48"/>
    </row>
    <row r="104" spans="1:13" hidden="1" x14ac:dyDescent="0.25">
      <c r="K104" s="48"/>
      <c r="L104" s="48"/>
      <c r="M104" s="48"/>
    </row>
    <row r="105" spans="1:13" hidden="1" x14ac:dyDescent="0.25">
      <c r="K105" s="48"/>
      <c r="L105" s="48"/>
      <c r="M105" s="48"/>
    </row>
    <row r="106" spans="1:13" ht="15" hidden="1" customHeight="1" x14ac:dyDescent="0.25"/>
    <row r="107" spans="1:13" ht="15" hidden="1" customHeight="1" x14ac:dyDescent="0.25"/>
    <row r="108" spans="1:13" ht="15" hidden="1" customHeight="1" x14ac:dyDescent="0.25"/>
    <row r="109" spans="1:13" ht="15" hidden="1" customHeight="1" x14ac:dyDescent="0.25"/>
    <row r="110" spans="1:13" ht="15" hidden="1" customHeight="1" x14ac:dyDescent="0.25"/>
    <row r="111" spans="1:13" ht="15" hidden="1" customHeight="1" x14ac:dyDescent="0.25"/>
    <row r="112" spans="1:13"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sheetData>
  <sheetProtection algorithmName="SHA-512" hashValue="HDT5BvHKflBCQ/gebyAwuYSSaQme/VKefJtpGlfhcDRlP9yVXvdKWwhbhB/Sk1/tJJECWsvNpWcxdCBvheZJWg==" saltValue="HpnalFoZXpcKBPOKR/MXVg==" spinCount="100000" sheet="1" objects="1" scenarios="1"/>
  <mergeCells count="65">
    <mergeCell ref="F83:G83"/>
    <mergeCell ref="B95:F95"/>
    <mergeCell ref="H95:I95"/>
    <mergeCell ref="F78:G78"/>
    <mergeCell ref="F79:G79"/>
    <mergeCell ref="F80:G80"/>
    <mergeCell ref="F81:G81"/>
    <mergeCell ref="F82:G82"/>
    <mergeCell ref="F73:G73"/>
    <mergeCell ref="F74:G74"/>
    <mergeCell ref="F75:G75"/>
    <mergeCell ref="F76:G76"/>
    <mergeCell ref="F77:G77"/>
    <mergeCell ref="F68:G68"/>
    <mergeCell ref="F69:G69"/>
    <mergeCell ref="F70:G70"/>
    <mergeCell ref="F71:G71"/>
    <mergeCell ref="F72:G72"/>
    <mergeCell ref="J51:K51"/>
    <mergeCell ref="B93:F93"/>
    <mergeCell ref="H93:I93"/>
    <mergeCell ref="B94:F94"/>
    <mergeCell ref="B96:F96"/>
    <mergeCell ref="H94:I94"/>
    <mergeCell ref="H96:I96"/>
    <mergeCell ref="J61:K61"/>
    <mergeCell ref="J57:K57"/>
    <mergeCell ref="B65:H65"/>
    <mergeCell ref="J52:K52"/>
    <mergeCell ref="J53:K53"/>
    <mergeCell ref="J54:K54"/>
    <mergeCell ref="J58:K58"/>
    <mergeCell ref="J55:K55"/>
    <mergeCell ref="J56:K56"/>
    <mergeCell ref="A98:M98"/>
    <mergeCell ref="B45:H45"/>
    <mergeCell ref="B85:C85"/>
    <mergeCell ref="B89:F89"/>
    <mergeCell ref="B90:F90"/>
    <mergeCell ref="B91:F91"/>
    <mergeCell ref="H89:I89"/>
    <mergeCell ref="H90:I90"/>
    <mergeCell ref="H91:I91"/>
    <mergeCell ref="J63:K63"/>
    <mergeCell ref="J48:K48"/>
    <mergeCell ref="J60:K60"/>
    <mergeCell ref="J59:K59"/>
    <mergeCell ref="A87:M87"/>
    <mergeCell ref="J62:K62"/>
    <mergeCell ref="J50:K50"/>
    <mergeCell ref="J49:K49"/>
    <mergeCell ref="A1:M1"/>
    <mergeCell ref="H2:I4"/>
    <mergeCell ref="B11:E11"/>
    <mergeCell ref="B12:E12"/>
    <mergeCell ref="A5:M7"/>
    <mergeCell ref="A9:M9"/>
    <mergeCell ref="A14:M14"/>
    <mergeCell ref="B22:J22"/>
    <mergeCell ref="A34:M34"/>
    <mergeCell ref="B38:H38"/>
    <mergeCell ref="B40:C40"/>
    <mergeCell ref="B41:C41"/>
    <mergeCell ref="B42:C42"/>
    <mergeCell ref="B43:C43"/>
  </mergeCells>
  <conditionalFormatting sqref="G90:I91">
    <cfRule type="expression" dxfId="356" priority="11">
      <formula>$B90="No evidence required at this submission stage"</formula>
    </cfRule>
    <cfRule type="expression" dxfId="355" priority="12">
      <formula>$B90="/"</formula>
    </cfRule>
  </conditionalFormatting>
  <conditionalFormatting sqref="G94:I94 H96:I96">
    <cfRule type="expression" dxfId="354" priority="5">
      <formula>$B94="No evidence required at this submission stage"</formula>
    </cfRule>
    <cfRule type="expression" dxfId="353" priority="6">
      <formula>$B94="/"</formula>
    </cfRule>
  </conditionalFormatting>
  <conditionalFormatting sqref="G95:I95">
    <cfRule type="expression" dxfId="352" priority="3">
      <formula>$B95="No evidence required at this submission stage"</formula>
    </cfRule>
    <cfRule type="expression" dxfId="351" priority="4">
      <formula>$B95="/"</formula>
    </cfRule>
  </conditionalFormatting>
  <conditionalFormatting sqref="G96">
    <cfRule type="expression" dxfId="350" priority="1">
      <formula>$B96="/"</formula>
    </cfRule>
    <cfRule type="expression" dxfId="349" priority="2">
      <formula>$B96="No evidence required at this submission stage"</formula>
    </cfRule>
  </conditionalFormatting>
  <dataValidations xWindow="560" yWindow="537" count="12">
    <dataValidation type="list" allowBlank="1" showInputMessage="1" showErrorMessage="1" sqref="C69:C83">
      <formula1>"Select, Mechanical ventilation,Mixed-mode ventilation"</formula1>
    </dataValidation>
    <dataValidation allowBlank="1" showInputMessage="1" showErrorMessage="1" prompt="Select the recognised standard on ventilation followed by the project and with which the occupied spaces are compliant." sqref="E68"/>
    <dataValidation allowBlank="1" showInputMessage="1" showErrorMessage="1" prompt="Example: _x000a_4 openings: 1 opening of 2 m2, 1 opening of 3m2 and 2 openings of 2.5 m2_x000a_Write information as follows:_x000a_&quot;1 OP1 - 2 m2_x000a_1 OP2 - 3 m2_x000a_2 OP3 - 2.5 m2&quot;" sqref="E48:E63"/>
    <dataValidation type="list" allowBlank="1" showInputMessage="1" showErrorMessage="1" prompt="(Only if the space has no direct openings to the outdoors )_x000a_Window or door connecting the room with an adjoining room that receives sufficient fresh air supply." sqref="H49:H63">
      <formula1>"Select, Yes, No"</formula1>
    </dataValidation>
    <dataValidation allowBlank="1" showInputMessage="1" showErrorMessage="1" prompt="(Only if the space has no direct openings to the outdoors )_x000a_Window or door connecting the room with an adjoining room that receives sufficient fresh air supply." sqref="H48"/>
    <dataValidation allowBlank="1" showInputMessage="1" showErrorMessage="1" prompt="(Only if fresh air supply not sufficient from openings to the outdoors)_x000a_Size of the window or door connecting this room with an adjoining room that receives sufficient fresh air supply" sqref="I48:I63"/>
    <dataValidation type="list" allowBlank="1" showInputMessage="1" showErrorMessage="1" sqref="G90:G91 G94:G95">
      <formula1>"Select,Submitted,Not submitted"</formula1>
    </dataValidation>
    <dataValidation type="list" allowBlank="1" showInputMessage="1" showErrorMessage="1" sqref="C49:C63">
      <formula1>"Select,Natural Ventilation, Mixed-mode ventilation"</formula1>
    </dataValidation>
    <dataValidation allowBlank="1" showInputMessage="1" showErrorMessage="1" prompt="If a standard not appearing in the list was followed, precise which one." sqref="F69:F83"/>
    <dataValidation type="list" allowBlank="1" showInputMessage="1" showErrorMessage="1" prompt="Select the recognised standard on ventilation followed by the project and with which the occupied spaces are compliant." sqref="E69:E83">
      <formula1>"Select, TCVN 5687:2010, CIBSE,ASHRAE 62.1 - 2007, ASHRAE 62.1 - 2010,, ASHRAE 62.1 - 2013, AS1668.2,other standard,No"</formula1>
    </dataValidation>
    <dataValidation type="list" allowBlank="1" showInputMessage="1" showErrorMessage="1" sqref="D41:D43">
      <formula1>"Select,Yes,No"</formula1>
    </dataValidation>
    <dataValidation type="list" allowBlank="1" showInputMessage="1" showErrorMessage="1" sqref="G96">
      <formula1>Sub_FC</formula1>
    </dataValidation>
  </dataValidations>
  <hyperlinks>
    <hyperlink ref="J3" location="'H-2 CO2 Monitoring'!B3" tooltip="H-5" display="H-2"/>
    <hyperlink ref="J2" location="'H-PR-1 Indoor Smoking'!B3" tooltip="H-5" display="H-PR-1"/>
    <hyperlink ref="L3" location="'H-8 External Views'!B3" tooltip="H-8" display="H-8"/>
    <hyperlink ref="L4" location="'H-9 Lighting Comfort'!B3" tooltip="H-9" display="H-9"/>
    <hyperlink ref="L2" location="'H-7 Daylighting'!B3" tooltip="H-7" display="H-7"/>
    <hyperlink ref="M3" location="'H-11 Acoustic Comfort'!B3" tooltip="H-11" display="H-11"/>
    <hyperlink ref="M2" location="'H-10 Thermal Comfort'!B3" tooltip="H-10" display="H-10"/>
    <hyperlink ref="M4" location="'H-12 Post-occupancy Comfort'!B3" tooltip="H-12" display="H-12"/>
    <hyperlink ref="K3" location="'H-5 Interior Plants'!B3" tooltip="H-5" display="H-5"/>
    <hyperlink ref="K2" location="'H-4 Removal of pollutants'!B3" tooltip="H-4" display="H-4"/>
    <hyperlink ref="K4" location="'H-6 Green Cleaning'!B3" tooltip="H-6" display="H-6"/>
    <hyperlink ref="J4" location="'H-3 Low-VOC Emissions '!D3" tooltip="H-3" display="H-3"/>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43634"/>
  </sheetPr>
  <dimension ref="A1:N103"/>
  <sheetViews>
    <sheetView showGridLines="0" showRowColHeaders="0" zoomScaleNormal="100" workbookViewId="0">
      <pane ySplit="8" topLeftCell="A9" activePane="bottomLeft" state="frozen"/>
      <selection pane="bottomLeft" activeCell="A5" sqref="A5:M7"/>
    </sheetView>
  </sheetViews>
  <sheetFormatPr defaultColWidth="0" defaultRowHeight="15" zeroHeight="1" x14ac:dyDescent="0.25"/>
  <cols>
    <col min="1" max="1" width="5.7109375" style="37" customWidth="1"/>
    <col min="2" max="2" width="18.7109375" style="37" customWidth="1"/>
    <col min="3" max="3" width="17" style="37" customWidth="1"/>
    <col min="4" max="6" width="18.42578125" style="37" customWidth="1"/>
    <col min="7" max="7" width="19.42578125" style="37" customWidth="1"/>
    <col min="8" max="8" width="22.5703125" style="37" customWidth="1"/>
    <col min="9" max="9" width="16.7109375" style="37" customWidth="1"/>
    <col min="10" max="13" width="8.7109375" style="37" customWidth="1"/>
    <col min="14" max="16384" width="9.140625" style="37" hidden="1"/>
  </cols>
  <sheetData>
    <row r="1" spans="1:13" ht="23.25" x14ac:dyDescent="0.25">
      <c r="A1" s="2104" t="s">
        <v>460</v>
      </c>
      <c r="B1" s="2104"/>
      <c r="C1" s="2104"/>
      <c r="D1" s="2104"/>
      <c r="E1" s="2104"/>
      <c r="F1" s="2104"/>
      <c r="G1" s="2104"/>
      <c r="H1" s="2104"/>
      <c r="I1" s="2104"/>
      <c r="J1" s="2104"/>
      <c r="K1" s="2104"/>
      <c r="L1" s="2104"/>
      <c r="M1" s="2104"/>
    </row>
    <row r="2" spans="1:13" ht="15" customHeight="1" x14ac:dyDescent="0.25">
      <c r="A2" s="48"/>
      <c r="B2" s="49"/>
      <c r="C2" s="49"/>
      <c r="D2" s="49"/>
      <c r="E2" s="49"/>
      <c r="F2" s="48"/>
      <c r="G2" s="48"/>
      <c r="H2" s="1694" t="s">
        <v>1702</v>
      </c>
      <c r="I2" s="1694"/>
      <c r="J2" s="752" t="s">
        <v>340</v>
      </c>
      <c r="K2" s="752" t="s">
        <v>37</v>
      </c>
      <c r="L2" s="752" t="s">
        <v>314</v>
      </c>
      <c r="M2" s="752" t="s">
        <v>317</v>
      </c>
    </row>
    <row r="3" spans="1:13" ht="15" customHeight="1" x14ac:dyDescent="0.25">
      <c r="A3" s="48"/>
      <c r="B3" s="49"/>
      <c r="C3" s="49"/>
      <c r="D3" s="49"/>
      <c r="E3" s="49"/>
      <c r="F3" s="48"/>
      <c r="G3" s="48"/>
      <c r="H3" s="1694"/>
      <c r="I3" s="1694"/>
      <c r="J3" s="752" t="s">
        <v>30</v>
      </c>
      <c r="K3" s="752" t="s">
        <v>248</v>
      </c>
      <c r="L3" s="752" t="s">
        <v>315</v>
      </c>
      <c r="M3" s="752" t="s">
        <v>318</v>
      </c>
    </row>
    <row r="4" spans="1:13" ht="15" customHeight="1" x14ac:dyDescent="0.25">
      <c r="A4" s="48"/>
      <c r="B4" s="49"/>
      <c r="C4" s="49"/>
      <c r="D4" s="49"/>
      <c r="E4" s="49"/>
      <c r="F4" s="48"/>
      <c r="G4" s="48"/>
      <c r="H4" s="1695"/>
      <c r="I4" s="1695"/>
      <c r="J4" s="752" t="s">
        <v>35</v>
      </c>
      <c r="K4" s="752" t="s">
        <v>313</v>
      </c>
      <c r="L4" s="752" t="s">
        <v>316</v>
      </c>
      <c r="M4" s="752" t="s">
        <v>319</v>
      </c>
    </row>
    <row r="5" spans="1:13" ht="18" customHeight="1" x14ac:dyDescent="0.25">
      <c r="A5" s="1704" t="s">
        <v>2834</v>
      </c>
      <c r="B5" s="1705"/>
      <c r="C5" s="1705"/>
      <c r="D5" s="1705"/>
      <c r="E5" s="1705"/>
      <c r="F5" s="1705"/>
      <c r="G5" s="1705"/>
      <c r="H5" s="1705"/>
      <c r="I5" s="1705"/>
      <c r="J5" s="1705"/>
      <c r="K5" s="1705"/>
      <c r="L5" s="1705"/>
      <c r="M5" s="1706"/>
    </row>
    <row r="6" spans="1:13" ht="18" customHeight="1" x14ac:dyDescent="0.25">
      <c r="A6" s="1707"/>
      <c r="B6" s="1708"/>
      <c r="C6" s="1708"/>
      <c r="D6" s="1708"/>
      <c r="E6" s="1708"/>
      <c r="F6" s="1708"/>
      <c r="G6" s="1708"/>
      <c r="H6" s="1708"/>
      <c r="I6" s="1708"/>
      <c r="J6" s="1708"/>
      <c r="K6" s="1708"/>
      <c r="L6" s="1708"/>
      <c r="M6" s="1709"/>
    </row>
    <row r="7" spans="1:13" ht="18" customHeight="1" x14ac:dyDescent="0.25">
      <c r="A7" s="1710"/>
      <c r="B7" s="1711"/>
      <c r="C7" s="1711"/>
      <c r="D7" s="1711"/>
      <c r="E7" s="1711"/>
      <c r="F7" s="1711"/>
      <c r="G7" s="1711"/>
      <c r="H7" s="1711"/>
      <c r="I7" s="1711"/>
      <c r="J7" s="1711"/>
      <c r="K7" s="1711"/>
      <c r="L7" s="1711"/>
      <c r="M7" s="1712"/>
    </row>
    <row r="8" spans="1:13" ht="12" customHeight="1" x14ac:dyDescent="0.25">
      <c r="A8" s="48"/>
      <c r="B8" s="49"/>
      <c r="C8" s="49"/>
      <c r="D8" s="49"/>
      <c r="E8" s="49"/>
      <c r="F8" s="48"/>
      <c r="G8" s="48"/>
      <c r="H8" s="48"/>
      <c r="I8" s="48"/>
      <c r="J8" s="48"/>
      <c r="K8" s="48"/>
      <c r="L8" s="48"/>
      <c r="M8" s="48"/>
    </row>
    <row r="9" spans="1:13" ht="18" customHeight="1" x14ac:dyDescent="0.25">
      <c r="A9" s="2092" t="s">
        <v>95</v>
      </c>
      <c r="B9" s="2092"/>
      <c r="C9" s="2092"/>
      <c r="D9" s="2092"/>
      <c r="E9" s="2092"/>
      <c r="F9" s="2092"/>
      <c r="G9" s="2092"/>
      <c r="H9" s="2092"/>
      <c r="I9" s="2092"/>
      <c r="J9" s="2092"/>
      <c r="K9" s="2092"/>
      <c r="L9" s="2092"/>
      <c r="M9" s="2092"/>
    </row>
    <row r="10" spans="1:13" x14ac:dyDescent="0.25">
      <c r="A10" s="48"/>
      <c r="B10" s="49"/>
      <c r="C10" s="49"/>
      <c r="D10" s="49"/>
      <c r="E10" s="49"/>
      <c r="F10" s="48"/>
      <c r="G10" s="48"/>
      <c r="H10" s="48"/>
      <c r="I10" s="48"/>
      <c r="J10" s="48"/>
      <c r="K10" s="48"/>
      <c r="L10" s="48"/>
      <c r="M10" s="48"/>
    </row>
    <row r="11" spans="1:13" ht="21" customHeight="1" x14ac:dyDescent="0.25">
      <c r="A11" s="48"/>
      <c r="B11" s="2097" t="s">
        <v>96</v>
      </c>
      <c r="C11" s="2098"/>
      <c r="D11" s="2098"/>
      <c r="E11" s="2098"/>
      <c r="F11" s="677" t="s">
        <v>75</v>
      </c>
      <c r="G11" s="677" t="s">
        <v>19</v>
      </c>
      <c r="H11" s="50" t="s">
        <v>151</v>
      </c>
      <c r="I11" s="48"/>
      <c r="J11" s="48"/>
      <c r="K11" s="48"/>
      <c r="L11" s="48"/>
      <c r="M11" s="48"/>
    </row>
    <row r="12" spans="1:13" ht="21.75" customHeight="1" x14ac:dyDescent="0.25">
      <c r="A12" s="48"/>
      <c r="B12" s="2105" t="s">
        <v>714</v>
      </c>
      <c r="C12" s="2106"/>
      <c r="D12" s="2106"/>
      <c r="E12" s="2107"/>
      <c r="F12" s="53">
        <v>1</v>
      </c>
      <c r="G12" s="53">
        <f>C56</f>
        <v>0</v>
      </c>
      <c r="H12" s="53" t="str">
        <f>C57</f>
        <v>No</v>
      </c>
      <c r="I12" s="48"/>
      <c r="J12" s="48"/>
      <c r="K12" s="48"/>
      <c r="L12" s="48"/>
      <c r="M12" s="48"/>
    </row>
    <row r="13" spans="1:13" x14ac:dyDescent="0.25">
      <c r="A13" s="48"/>
      <c r="B13" s="49"/>
      <c r="C13" s="49"/>
      <c r="D13" s="49"/>
      <c r="E13" s="49"/>
      <c r="F13" s="48"/>
      <c r="G13" s="48"/>
      <c r="H13" s="48"/>
      <c r="I13" s="48"/>
      <c r="J13" s="48"/>
      <c r="K13" s="48"/>
      <c r="L13" s="48"/>
      <c r="M13" s="48"/>
    </row>
    <row r="14" spans="1:13" ht="18" customHeight="1" x14ac:dyDescent="0.25">
      <c r="A14" s="2092" t="s">
        <v>117</v>
      </c>
      <c r="B14" s="2092"/>
      <c r="C14" s="2092"/>
      <c r="D14" s="2092"/>
      <c r="E14" s="2092"/>
      <c r="F14" s="2092"/>
      <c r="G14" s="2092"/>
      <c r="H14" s="2092"/>
      <c r="I14" s="2092"/>
      <c r="J14" s="2092"/>
      <c r="K14" s="2092"/>
      <c r="L14" s="2092"/>
      <c r="M14" s="2092"/>
    </row>
    <row r="15" spans="1:13" ht="12" customHeight="1" x14ac:dyDescent="0.25">
      <c r="A15" s="48"/>
      <c r="B15" s="49"/>
      <c r="C15" s="49"/>
      <c r="D15" s="49"/>
      <c r="E15" s="49"/>
      <c r="F15" s="48"/>
      <c r="G15" s="48"/>
      <c r="H15" s="48"/>
      <c r="I15" s="48"/>
      <c r="J15" s="48"/>
      <c r="K15" s="48"/>
      <c r="L15" s="48"/>
      <c r="M15" s="48"/>
    </row>
    <row r="16" spans="1:13" x14ac:dyDescent="0.25">
      <c r="A16" s="48"/>
      <c r="B16" s="708" t="s">
        <v>715</v>
      </c>
      <c r="C16" s="49"/>
      <c r="D16" s="49"/>
      <c r="E16" s="49"/>
      <c r="F16" s="48"/>
      <c r="G16" s="48"/>
      <c r="H16" s="48"/>
      <c r="I16" s="48"/>
      <c r="J16" s="48"/>
      <c r="K16" s="48"/>
      <c r="L16" s="48"/>
      <c r="M16" s="48"/>
    </row>
    <row r="17" spans="1:14" ht="12" customHeight="1" x14ac:dyDescent="0.25">
      <c r="A17" s="48"/>
      <c r="B17" s="121"/>
      <c r="C17" s="49"/>
      <c r="D17" s="49"/>
      <c r="E17" s="49"/>
      <c r="F17" s="48"/>
      <c r="G17" s="48"/>
      <c r="H17" s="48"/>
      <c r="I17" s="48"/>
      <c r="J17" s="48"/>
      <c r="K17" s="48"/>
      <c r="L17" s="48"/>
      <c r="M17" s="48"/>
    </row>
    <row r="18" spans="1:14" ht="15.75" x14ac:dyDescent="0.3">
      <c r="A18" s="48"/>
      <c r="B18" s="588" t="s">
        <v>1008</v>
      </c>
      <c r="C18" s="586"/>
      <c r="D18" s="586"/>
      <c r="E18" s="586"/>
      <c r="F18" s="586"/>
      <c r="G18" s="586"/>
      <c r="H18" s="586"/>
      <c r="I18" s="586"/>
      <c r="J18" s="586"/>
      <c r="K18" s="586"/>
      <c r="L18" s="587"/>
      <c r="M18" s="48"/>
    </row>
    <row r="19" spans="1:14" ht="6" customHeight="1" x14ac:dyDescent="0.25">
      <c r="A19" s="48"/>
      <c r="B19" s="630"/>
      <c r="C19" s="631"/>
      <c r="D19" s="631"/>
      <c r="E19" s="631"/>
      <c r="F19" s="631"/>
      <c r="G19" s="631"/>
      <c r="H19" s="631"/>
      <c r="I19" s="631"/>
      <c r="J19" s="631"/>
      <c r="K19" s="631"/>
      <c r="L19" s="632"/>
      <c r="M19" s="48"/>
    </row>
    <row r="20" spans="1:14" ht="15" customHeight="1" x14ac:dyDescent="0.3">
      <c r="A20" s="48"/>
      <c r="B20" s="630" t="s">
        <v>1009</v>
      </c>
      <c r="C20" s="633"/>
      <c r="D20" s="633"/>
      <c r="E20" s="633"/>
      <c r="F20" s="633"/>
      <c r="G20" s="633"/>
      <c r="H20" s="633"/>
      <c r="I20" s="633"/>
      <c r="J20" s="633"/>
      <c r="K20" s="633"/>
      <c r="L20" s="634"/>
      <c r="M20" s="126"/>
    </row>
    <row r="21" spans="1:14" ht="16.5" customHeight="1" x14ac:dyDescent="0.25">
      <c r="A21" s="48"/>
      <c r="B21" s="635" t="s">
        <v>720</v>
      </c>
      <c r="C21" s="636"/>
      <c r="D21" s="636"/>
      <c r="E21" s="636"/>
      <c r="F21" s="636"/>
      <c r="G21" s="636"/>
      <c r="H21" s="636"/>
      <c r="I21" s="636"/>
      <c r="J21" s="636"/>
      <c r="K21" s="636"/>
      <c r="L21" s="637"/>
      <c r="M21" s="439"/>
    </row>
    <row r="22" spans="1:14" ht="61.5" customHeight="1" x14ac:dyDescent="0.25">
      <c r="A22" s="48"/>
      <c r="B22" s="2111" t="s">
        <v>2017</v>
      </c>
      <c r="C22" s="2112"/>
      <c r="D22" s="2112"/>
      <c r="E22" s="2112"/>
      <c r="F22" s="2112"/>
      <c r="G22" s="2112"/>
      <c r="H22" s="2112"/>
      <c r="I22" s="2112"/>
      <c r="J22" s="2112"/>
      <c r="K22" s="2112"/>
      <c r="L22" s="2113"/>
      <c r="M22" s="439"/>
    </row>
    <row r="23" spans="1:14" ht="6" customHeight="1" x14ac:dyDescent="0.25">
      <c r="A23" s="48"/>
      <c r="B23" s="646"/>
      <c r="C23" s="643"/>
      <c r="D23" s="643"/>
      <c r="E23" s="643"/>
      <c r="F23" s="643"/>
      <c r="G23" s="643"/>
      <c r="H23" s="643"/>
      <c r="I23" s="643"/>
      <c r="J23" s="643"/>
      <c r="K23" s="643"/>
      <c r="L23" s="647"/>
      <c r="M23" s="622"/>
    </row>
    <row r="24" spans="1:14" ht="15.75" x14ac:dyDescent="0.3">
      <c r="A24" s="48"/>
      <c r="B24" s="630" t="s">
        <v>1017</v>
      </c>
      <c r="C24" s="643"/>
      <c r="D24" s="643"/>
      <c r="E24" s="643"/>
      <c r="F24" s="643"/>
      <c r="G24" s="643"/>
      <c r="H24" s="643"/>
      <c r="I24" s="643"/>
      <c r="J24" s="643"/>
      <c r="K24" s="643"/>
      <c r="L24" s="647"/>
      <c r="M24" s="622"/>
    </row>
    <row r="25" spans="1:14" x14ac:dyDescent="0.25">
      <c r="A25" s="48"/>
      <c r="B25" s="589" t="s">
        <v>1016</v>
      </c>
      <c r="C25" s="644"/>
      <c r="D25" s="644"/>
      <c r="E25" s="644"/>
      <c r="F25" s="644"/>
      <c r="G25" s="644"/>
      <c r="H25" s="644"/>
      <c r="I25" s="644"/>
      <c r="J25" s="644"/>
      <c r="K25" s="644"/>
      <c r="L25" s="645"/>
      <c r="M25" s="622"/>
    </row>
    <row r="26" spans="1:14" x14ac:dyDescent="0.25">
      <c r="A26" s="48"/>
      <c r="B26" s="439"/>
      <c r="C26" s="439"/>
      <c r="D26" s="439"/>
      <c r="E26" s="439"/>
      <c r="F26" s="439"/>
      <c r="G26" s="439"/>
      <c r="H26" s="439"/>
      <c r="I26" s="439"/>
      <c r="J26" s="439"/>
      <c r="K26" s="439"/>
      <c r="L26" s="439"/>
      <c r="M26" s="439"/>
    </row>
    <row r="27" spans="1:14" ht="15" customHeight="1" x14ac:dyDescent="0.25">
      <c r="A27" s="48"/>
      <c r="B27" s="1900" t="s">
        <v>1102</v>
      </c>
      <c r="C27" s="1900"/>
      <c r="D27" s="1900"/>
      <c r="E27" s="1900"/>
      <c r="F27" s="1900"/>
      <c r="G27" s="1900"/>
      <c r="H27" s="1900"/>
      <c r="I27" s="1900"/>
      <c r="J27" s="622"/>
      <c r="K27" s="622"/>
      <c r="L27" s="622"/>
      <c r="M27" s="622"/>
    </row>
    <row r="28" spans="1:14" x14ac:dyDescent="0.25">
      <c r="A28" s="48"/>
      <c r="B28" s="622"/>
      <c r="C28" s="622"/>
      <c r="D28" s="622"/>
      <c r="E28" s="622"/>
      <c r="F28" s="622"/>
      <c r="G28" s="622"/>
      <c r="H28" s="622"/>
      <c r="I28" s="622"/>
      <c r="J28" s="622"/>
      <c r="K28" s="622"/>
      <c r="L28" s="622"/>
      <c r="M28" s="622"/>
    </row>
    <row r="29" spans="1:14" ht="28.5" x14ac:dyDescent="0.25">
      <c r="A29" s="48"/>
      <c r="B29" s="437" t="s">
        <v>716</v>
      </c>
      <c r="C29" s="621" t="s">
        <v>1015</v>
      </c>
      <c r="D29" s="621" t="s">
        <v>1018</v>
      </c>
      <c r="E29" s="438" t="s">
        <v>718</v>
      </c>
      <c r="F29" s="2110" t="s">
        <v>717</v>
      </c>
      <c r="G29" s="2110"/>
      <c r="H29" s="438" t="s">
        <v>719</v>
      </c>
      <c r="I29" s="621" t="s">
        <v>721</v>
      </c>
      <c r="J29" s="48"/>
      <c r="K29" s="48"/>
      <c r="L29" s="48"/>
      <c r="M29" s="48"/>
    </row>
    <row r="30" spans="1:14" ht="15" customHeight="1" x14ac:dyDescent="0.25">
      <c r="A30" s="48"/>
      <c r="B30" s="423"/>
      <c r="C30" s="620"/>
      <c r="D30" s="538"/>
      <c r="E30" s="538"/>
      <c r="F30" s="1648" t="s">
        <v>62</v>
      </c>
      <c r="G30" s="1648"/>
      <c r="H30" s="436" t="s">
        <v>62</v>
      </c>
      <c r="I30" s="652"/>
      <c r="J30" s="48"/>
      <c r="K30" s="48"/>
      <c r="L30" s="48"/>
      <c r="M30" s="48"/>
      <c r="N30" s="679" t="str">
        <f>IFERROR(IF(C30/D30&lt;=3,IF(AND(E30&gt;=1,F30&lt;&gt;"",F30&lt;&gt;"Select",H30&lt;&gt;"",H30&lt;&gt;"Select",I30&lt;&gt;""),"Yes","No"),IF(AND(E30&gt;=1,F30&lt;&gt;"",F30&lt;&gt;"Select",H30&lt;&gt;"",H30&lt;&gt;"Select",I30&lt;&gt;""),"Yes","")),"")</f>
        <v/>
      </c>
    </row>
    <row r="31" spans="1:14" ht="15" customHeight="1" x14ac:dyDescent="0.25">
      <c r="A31" s="48"/>
      <c r="B31" s="436"/>
      <c r="C31" s="620"/>
      <c r="D31" s="538"/>
      <c r="E31" s="538"/>
      <c r="F31" s="1648" t="s">
        <v>62</v>
      </c>
      <c r="G31" s="1648"/>
      <c r="H31" s="652" t="s">
        <v>62</v>
      </c>
      <c r="I31" s="652"/>
      <c r="J31" s="48"/>
      <c r="K31" s="48"/>
      <c r="L31" s="48"/>
      <c r="M31" s="48"/>
      <c r="N31" s="679" t="str">
        <f>IFERROR(IF(C31/D31&lt;=3,IF(AND(E31&gt;=1,F31&lt;&gt;"",F31&lt;&gt;"Select",H31&lt;&gt;"",H31&lt;&gt;"Select",I31&lt;&gt;""),"Yes","No"),IF(AND(E31&gt;=1,F31&lt;&gt;"",F31&lt;&gt;"Select",H31&lt;&gt;"",H31&lt;&gt;"Select",I31&lt;&gt;""),"Yes","")),"")</f>
        <v/>
      </c>
    </row>
    <row r="32" spans="1:14" ht="15" customHeight="1" x14ac:dyDescent="0.25">
      <c r="A32" s="48"/>
      <c r="B32" s="652"/>
      <c r="C32" s="652"/>
      <c r="D32" s="538"/>
      <c r="E32" s="538"/>
      <c r="F32" s="1648" t="s">
        <v>62</v>
      </c>
      <c r="G32" s="1648"/>
      <c r="H32" s="652" t="s">
        <v>62</v>
      </c>
      <c r="I32" s="652"/>
      <c r="J32" s="48"/>
      <c r="K32" s="48"/>
      <c r="L32" s="48"/>
      <c r="M32" s="48"/>
      <c r="N32" s="679" t="str">
        <f>IFERROR(IF(C32/D32&lt;=3,IF(AND(E32&gt;=1,F32&lt;&gt;"",F32&lt;&gt;"Select",H32&lt;&gt;"",H32&lt;&gt;"Select",I32&lt;&gt;""),"Yes","No"),IF(AND(E32&gt;=1,F32&lt;&gt;"",F32&lt;&gt;"Select",H32&lt;&gt;"",H32&lt;&gt;"Select",I32&lt;&gt;""),"Yes","")),"")</f>
        <v/>
      </c>
    </row>
    <row r="33" spans="1:14" ht="15" customHeight="1" x14ac:dyDescent="0.25">
      <c r="A33" s="48"/>
      <c r="B33" s="652"/>
      <c r="C33" s="652"/>
      <c r="D33" s="538"/>
      <c r="E33" s="538"/>
      <c r="F33" s="1648" t="s">
        <v>62</v>
      </c>
      <c r="G33" s="1648"/>
      <c r="H33" s="652" t="s">
        <v>62</v>
      </c>
      <c r="I33" s="652"/>
      <c r="J33" s="48"/>
      <c r="K33" s="48"/>
      <c r="L33" s="48"/>
      <c r="M33" s="48"/>
      <c r="N33" s="679" t="str">
        <f t="shared" ref="N33:N44" si="0">IFERROR(IF(C33/D33&lt;=3,IF(AND(E33&gt;=1,F33&lt;&gt;"",F33&lt;&gt;"Select",H33&lt;&gt;"",H33&lt;&gt;"Select",I33&lt;&gt;""),"Yes","No"),IF(AND(E33&gt;=1,F33&lt;&gt;"",F33&lt;&gt;"Select",H33&lt;&gt;"",H33&lt;&gt;"Select",I33&lt;&gt;""),"Yes","")),"")</f>
        <v/>
      </c>
    </row>
    <row r="34" spans="1:14" ht="15" customHeight="1" x14ac:dyDescent="0.25">
      <c r="A34" s="48"/>
      <c r="B34" s="652"/>
      <c r="C34" s="652"/>
      <c r="D34" s="538"/>
      <c r="E34" s="538"/>
      <c r="F34" s="1648" t="s">
        <v>62</v>
      </c>
      <c r="G34" s="1648"/>
      <c r="H34" s="652" t="s">
        <v>62</v>
      </c>
      <c r="I34" s="652"/>
      <c r="J34" s="48"/>
      <c r="K34" s="48"/>
      <c r="L34" s="48"/>
      <c r="M34" s="48"/>
      <c r="N34" s="679" t="str">
        <f t="shared" si="0"/>
        <v/>
      </c>
    </row>
    <row r="35" spans="1:14" ht="15" customHeight="1" x14ac:dyDescent="0.25">
      <c r="A35" s="48"/>
      <c r="B35" s="652"/>
      <c r="C35" s="652"/>
      <c r="D35" s="538"/>
      <c r="E35" s="538"/>
      <c r="F35" s="1648" t="s">
        <v>62</v>
      </c>
      <c r="G35" s="1648"/>
      <c r="H35" s="652" t="s">
        <v>62</v>
      </c>
      <c r="I35" s="652"/>
      <c r="J35" s="48"/>
      <c r="K35" s="48"/>
      <c r="L35" s="48"/>
      <c r="M35" s="48"/>
      <c r="N35" s="679" t="str">
        <f t="shared" si="0"/>
        <v/>
      </c>
    </row>
    <row r="36" spans="1:14" ht="15" customHeight="1" x14ac:dyDescent="0.25">
      <c r="A36" s="48"/>
      <c r="B36" s="652"/>
      <c r="C36" s="652"/>
      <c r="D36" s="538"/>
      <c r="E36" s="538"/>
      <c r="F36" s="1648" t="s">
        <v>62</v>
      </c>
      <c r="G36" s="1648"/>
      <c r="H36" s="652" t="s">
        <v>62</v>
      </c>
      <c r="I36" s="652"/>
      <c r="J36" s="48"/>
      <c r="K36" s="48"/>
      <c r="L36" s="48"/>
      <c r="M36" s="48"/>
      <c r="N36" s="679" t="str">
        <f t="shared" si="0"/>
        <v/>
      </c>
    </row>
    <row r="37" spans="1:14" ht="15" customHeight="1" x14ac:dyDescent="0.25">
      <c r="A37" s="48"/>
      <c r="B37" s="652"/>
      <c r="C37" s="652"/>
      <c r="D37" s="538"/>
      <c r="E37" s="538"/>
      <c r="F37" s="1648" t="s">
        <v>62</v>
      </c>
      <c r="G37" s="1648"/>
      <c r="H37" s="652" t="s">
        <v>62</v>
      </c>
      <c r="I37" s="652"/>
      <c r="J37" s="48"/>
      <c r="K37" s="48"/>
      <c r="L37" s="48"/>
      <c r="M37" s="48"/>
      <c r="N37" s="679" t="str">
        <f t="shared" si="0"/>
        <v/>
      </c>
    </row>
    <row r="38" spans="1:14" ht="15" customHeight="1" x14ac:dyDescent="0.25">
      <c r="A38" s="48"/>
      <c r="B38" s="652"/>
      <c r="C38" s="652"/>
      <c r="D38" s="538"/>
      <c r="E38" s="538"/>
      <c r="F38" s="1648" t="s">
        <v>62</v>
      </c>
      <c r="G38" s="1648"/>
      <c r="H38" s="652" t="s">
        <v>62</v>
      </c>
      <c r="I38" s="652"/>
      <c r="J38" s="48"/>
      <c r="K38" s="48"/>
      <c r="L38" s="48"/>
      <c r="M38" s="48"/>
      <c r="N38" s="679" t="str">
        <f t="shared" si="0"/>
        <v/>
      </c>
    </row>
    <row r="39" spans="1:14" ht="15" customHeight="1" x14ac:dyDescent="0.25">
      <c r="A39" s="48"/>
      <c r="B39" s="652"/>
      <c r="C39" s="652"/>
      <c r="D39" s="538"/>
      <c r="E39" s="538"/>
      <c r="F39" s="1648" t="s">
        <v>62</v>
      </c>
      <c r="G39" s="1648"/>
      <c r="H39" s="652" t="s">
        <v>62</v>
      </c>
      <c r="I39" s="652"/>
      <c r="J39" s="48"/>
      <c r="K39" s="48"/>
      <c r="L39" s="48"/>
      <c r="M39" s="48"/>
      <c r="N39" s="679" t="str">
        <f t="shared" si="0"/>
        <v/>
      </c>
    </row>
    <row r="40" spans="1:14" ht="15" customHeight="1" x14ac:dyDescent="0.25">
      <c r="A40" s="48"/>
      <c r="B40" s="436"/>
      <c r="C40" s="620"/>
      <c r="D40" s="538"/>
      <c r="E40" s="538"/>
      <c r="F40" s="1648" t="s">
        <v>62</v>
      </c>
      <c r="G40" s="1648"/>
      <c r="H40" s="436" t="s">
        <v>62</v>
      </c>
      <c r="I40" s="652"/>
      <c r="J40" s="48"/>
      <c r="K40" s="48"/>
      <c r="L40" s="48"/>
      <c r="M40" s="48"/>
      <c r="N40" s="679" t="str">
        <f t="shared" si="0"/>
        <v/>
      </c>
    </row>
    <row r="41" spans="1:14" ht="15" customHeight="1" x14ac:dyDescent="0.25">
      <c r="A41" s="48"/>
      <c r="B41" s="436"/>
      <c r="C41" s="620"/>
      <c r="D41" s="538"/>
      <c r="E41" s="538"/>
      <c r="F41" s="1648" t="s">
        <v>62</v>
      </c>
      <c r="G41" s="1648"/>
      <c r="H41" s="436" t="s">
        <v>62</v>
      </c>
      <c r="I41" s="652"/>
      <c r="J41" s="48"/>
      <c r="K41" s="48"/>
      <c r="L41" s="48"/>
      <c r="M41" s="48"/>
      <c r="N41" s="679" t="str">
        <f t="shared" si="0"/>
        <v/>
      </c>
    </row>
    <row r="42" spans="1:14" ht="15" customHeight="1" x14ac:dyDescent="0.25">
      <c r="A42" s="48"/>
      <c r="B42" s="423"/>
      <c r="C42" s="620"/>
      <c r="D42" s="538"/>
      <c r="E42" s="538"/>
      <c r="F42" s="1648" t="s">
        <v>62</v>
      </c>
      <c r="G42" s="1648"/>
      <c r="H42" s="436" t="s">
        <v>62</v>
      </c>
      <c r="I42" s="652"/>
      <c r="J42" s="48"/>
      <c r="K42" s="48"/>
      <c r="L42" s="48"/>
      <c r="M42" s="48"/>
      <c r="N42" s="679" t="str">
        <f t="shared" si="0"/>
        <v/>
      </c>
    </row>
    <row r="43" spans="1:14" ht="15" customHeight="1" x14ac:dyDescent="0.25">
      <c r="A43" s="48"/>
      <c r="B43" s="423"/>
      <c r="C43" s="620"/>
      <c r="D43" s="538"/>
      <c r="E43" s="538"/>
      <c r="F43" s="1625" t="s">
        <v>62</v>
      </c>
      <c r="G43" s="1626"/>
      <c r="H43" s="436" t="s">
        <v>62</v>
      </c>
      <c r="I43" s="653"/>
      <c r="J43" s="48"/>
      <c r="K43" s="48"/>
      <c r="L43" s="48"/>
      <c r="M43" s="48"/>
      <c r="N43" s="679" t="str">
        <f t="shared" si="0"/>
        <v/>
      </c>
    </row>
    <row r="44" spans="1:14" ht="15" customHeight="1" x14ac:dyDescent="0.25">
      <c r="A44" s="48"/>
      <c r="B44" s="423"/>
      <c r="C44" s="620"/>
      <c r="D44" s="538"/>
      <c r="E44" s="538"/>
      <c r="F44" s="1648" t="s">
        <v>62</v>
      </c>
      <c r="G44" s="1648"/>
      <c r="H44" s="436" t="s">
        <v>62</v>
      </c>
      <c r="I44" s="652"/>
      <c r="J44" s="48"/>
      <c r="K44" s="48"/>
      <c r="L44" s="48"/>
      <c r="M44" s="48"/>
      <c r="N44" s="679" t="str">
        <f t="shared" si="0"/>
        <v/>
      </c>
    </row>
    <row r="45" spans="1:14" ht="18" customHeight="1" x14ac:dyDescent="0.25">
      <c r="A45" s="48"/>
      <c r="B45" s="290"/>
      <c r="C45" s="284"/>
      <c r="D45" s="284"/>
      <c r="E45" s="284"/>
      <c r="F45" s="284"/>
      <c r="G45" s="284"/>
      <c r="H45" s="284"/>
      <c r="I45" s="284"/>
      <c r="J45" s="284"/>
      <c r="K45" s="48"/>
      <c r="L45" s="48"/>
      <c r="M45" s="48"/>
    </row>
    <row r="46" spans="1:14" ht="18" customHeight="1" x14ac:dyDescent="0.25">
      <c r="A46" s="48"/>
      <c r="B46" s="2102" t="s">
        <v>296</v>
      </c>
      <c r="C46" s="2102"/>
      <c r="D46" s="70" t="str">
        <f>IF(AND(COUNTIF(N30:N44,"No")=0,COUNTIF(N30:N44,"Yes")&gt;=1),"Yes","No")</f>
        <v>No</v>
      </c>
      <c r="E46" s="48"/>
      <c r="F46" s="48"/>
      <c r="G46" s="48"/>
      <c r="H46" s="48"/>
      <c r="I46" s="48"/>
      <c r="J46" s="48"/>
      <c r="K46" s="48"/>
      <c r="L46" s="48"/>
      <c r="M46" s="48"/>
    </row>
    <row r="47" spans="1:14" ht="19.5" customHeight="1" x14ac:dyDescent="0.25">
      <c r="A47" s="48"/>
      <c r="B47" s="49"/>
      <c r="C47" s="49"/>
      <c r="D47" s="49"/>
      <c r="E47" s="48"/>
      <c r="F47" s="48"/>
      <c r="G47" s="48"/>
      <c r="H47" s="48"/>
      <c r="I47" s="48"/>
      <c r="J47" s="48"/>
      <c r="K47" s="48"/>
      <c r="L47" s="48"/>
      <c r="M47" s="48"/>
    </row>
    <row r="48" spans="1:14" ht="18" customHeight="1" x14ac:dyDescent="0.25">
      <c r="A48" s="2092" t="s">
        <v>97</v>
      </c>
      <c r="B48" s="2092"/>
      <c r="C48" s="2092"/>
      <c r="D48" s="2092"/>
      <c r="E48" s="2092"/>
      <c r="F48" s="2092"/>
      <c r="G48" s="2092"/>
      <c r="H48" s="2092"/>
      <c r="I48" s="2092"/>
      <c r="J48" s="2092"/>
      <c r="K48" s="2092"/>
      <c r="L48" s="2092"/>
      <c r="M48" s="2092"/>
    </row>
    <row r="49" spans="1:14" x14ac:dyDescent="0.25">
      <c r="A49" s="48"/>
      <c r="B49" s="49"/>
      <c r="C49" s="49"/>
      <c r="D49" s="49"/>
      <c r="E49" s="48"/>
      <c r="F49" s="48"/>
      <c r="G49" s="48"/>
      <c r="H49" s="48"/>
      <c r="I49" s="48"/>
      <c r="J49" s="48"/>
      <c r="K49" s="48"/>
      <c r="L49" s="48"/>
      <c r="M49" s="48"/>
    </row>
    <row r="50" spans="1:14" ht="21" customHeight="1" x14ac:dyDescent="0.25">
      <c r="A50" s="48"/>
      <c r="B50" s="2093" t="s">
        <v>98</v>
      </c>
      <c r="C50" s="2094"/>
      <c r="D50" s="2094"/>
      <c r="E50" s="2094"/>
      <c r="F50" s="2094"/>
      <c r="G50" s="256" t="s">
        <v>1297</v>
      </c>
      <c r="H50" s="2095" t="s">
        <v>1298</v>
      </c>
      <c r="I50" s="2095"/>
      <c r="J50" s="48"/>
      <c r="K50" s="48"/>
      <c r="L50" s="48"/>
      <c r="M50" s="48"/>
    </row>
    <row r="51" spans="1:14" ht="30" customHeight="1" x14ac:dyDescent="0.25">
      <c r="A51" s="48"/>
      <c r="B51" s="1644" t="str">
        <f>Submittals!H87</f>
        <v>Select the Submission Stage in Project Information</v>
      </c>
      <c r="C51" s="1645"/>
      <c r="D51" s="1645"/>
      <c r="E51" s="1645"/>
      <c r="F51" s="1645"/>
      <c r="G51" s="810" t="s">
        <v>62</v>
      </c>
      <c r="H51" s="1625"/>
      <c r="I51" s="1626"/>
      <c r="J51" s="48"/>
      <c r="K51" s="48"/>
      <c r="L51" s="48"/>
      <c r="M51" s="48"/>
      <c r="N51" s="37" t="str">
        <f>IF(OR(B51="/",B51="No evidence required at this submission stage"),"Yes",IF(G51="Submitted","Yes","No"))</f>
        <v>No</v>
      </c>
    </row>
    <row r="52" spans="1:14" ht="30" customHeight="1" x14ac:dyDescent="0.25">
      <c r="A52" s="48"/>
      <c r="B52" s="1644" t="str">
        <f>Submittals!H88</f>
        <v>Select the Submission Stage in Project Information</v>
      </c>
      <c r="C52" s="1645"/>
      <c r="D52" s="1645"/>
      <c r="E52" s="1645"/>
      <c r="F52" s="1645"/>
      <c r="G52" s="810" t="s">
        <v>62</v>
      </c>
      <c r="H52" s="1625"/>
      <c r="I52" s="1626"/>
      <c r="J52" s="48"/>
      <c r="K52" s="48"/>
      <c r="L52" s="48"/>
      <c r="M52" s="48"/>
      <c r="N52" s="37" t="str">
        <f>IF(OR(B52="/",B52="No evidence required at this submission stage"),"Yes",IF(G52="Submitted","Yes","No"))</f>
        <v>No</v>
      </c>
    </row>
    <row r="53" spans="1:14" ht="19.5" customHeight="1" x14ac:dyDescent="0.25">
      <c r="A53" s="48"/>
      <c r="B53" s="49"/>
      <c r="C53" s="49"/>
      <c r="D53" s="49"/>
      <c r="E53" s="48"/>
      <c r="F53" s="48"/>
      <c r="G53" s="48"/>
      <c r="H53" s="48"/>
      <c r="I53" s="48"/>
      <c r="J53" s="48"/>
      <c r="K53" s="48"/>
      <c r="L53" s="48"/>
      <c r="M53" s="48"/>
    </row>
    <row r="54" spans="1:14" ht="18" customHeight="1" x14ac:dyDescent="0.25">
      <c r="A54" s="2092" t="s">
        <v>8</v>
      </c>
      <c r="B54" s="2092"/>
      <c r="C54" s="2092"/>
      <c r="D54" s="2092"/>
      <c r="E54" s="2092"/>
      <c r="F54" s="2092"/>
      <c r="G54" s="2092"/>
      <c r="H54" s="2092"/>
      <c r="I54" s="2092"/>
      <c r="J54" s="2092"/>
      <c r="K54" s="2092"/>
      <c r="L54" s="2092"/>
      <c r="M54" s="2092"/>
    </row>
    <row r="55" spans="1:14" x14ac:dyDescent="0.25">
      <c r="A55" s="48"/>
      <c r="B55" s="49"/>
      <c r="C55" s="49"/>
      <c r="D55" s="49"/>
      <c r="E55" s="49"/>
      <c r="F55" s="48"/>
      <c r="G55" s="48"/>
      <c r="H55" s="48"/>
      <c r="I55" s="48"/>
      <c r="J55" s="48"/>
      <c r="K55" s="48"/>
      <c r="L55" s="48"/>
      <c r="M55" s="48"/>
    </row>
    <row r="56" spans="1:14" ht="18" customHeight="1" x14ac:dyDescent="0.25">
      <c r="A56" s="48"/>
      <c r="B56" s="115" t="s">
        <v>19</v>
      </c>
      <c r="C56" s="116">
        <f>IF(D46="Yes",1,0)</f>
        <v>0</v>
      </c>
      <c r="D56" s="49"/>
      <c r="E56" s="48"/>
      <c r="F56" s="48"/>
      <c r="G56" s="48"/>
      <c r="H56" s="48"/>
      <c r="I56" s="48"/>
      <c r="J56" s="48"/>
      <c r="K56" s="48"/>
      <c r="L56" s="48"/>
      <c r="M56" s="48"/>
    </row>
    <row r="57" spans="1:14" ht="18" customHeight="1" x14ac:dyDescent="0.25">
      <c r="A57" s="48"/>
      <c r="B57" s="117" t="s">
        <v>151</v>
      </c>
      <c r="C57" s="118" t="str">
        <f>IF(AND(COUNTIF(N51:N52,"Yes")=2,C56&gt;0),"Yes","No")</f>
        <v>No</v>
      </c>
      <c r="D57" s="49"/>
      <c r="E57" s="49"/>
      <c r="F57" s="48"/>
      <c r="G57" s="48"/>
      <c r="H57" s="48"/>
      <c r="I57" s="48"/>
      <c r="J57" s="48"/>
      <c r="K57" s="48"/>
      <c r="L57" s="48"/>
      <c r="M57" s="48"/>
    </row>
    <row r="58" spans="1:14" x14ac:dyDescent="0.25">
      <c r="A58" s="48"/>
      <c r="B58" s="49"/>
      <c r="C58" s="49"/>
      <c r="D58" s="49"/>
      <c r="E58" s="49"/>
      <c r="F58" s="48"/>
      <c r="G58" s="48"/>
      <c r="H58" s="48"/>
      <c r="I58" s="48"/>
      <c r="J58" s="48"/>
      <c r="K58" s="48"/>
      <c r="L58" s="48"/>
      <c r="M58" s="48"/>
    </row>
    <row r="59" spans="1:14" hidden="1" x14ac:dyDescent="0.25">
      <c r="J59" s="48"/>
      <c r="K59" s="48"/>
      <c r="L59" s="48"/>
      <c r="M59" s="48"/>
    </row>
    <row r="60" spans="1:14" hidden="1" x14ac:dyDescent="0.25">
      <c r="J60" s="48"/>
      <c r="K60" s="48"/>
      <c r="L60" s="48"/>
      <c r="M60" s="48"/>
    </row>
    <row r="61" spans="1:14" hidden="1" x14ac:dyDescent="0.25">
      <c r="J61" s="48"/>
      <c r="K61" s="48"/>
      <c r="L61" s="48"/>
      <c r="M61" s="48"/>
    </row>
    <row r="62" spans="1:14" hidden="1" x14ac:dyDescent="0.25"/>
    <row r="63" spans="1:14" hidden="1" x14ac:dyDescent="0.25"/>
    <row r="64" spans="1:1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t="135" hidden="1" customHeight="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sheetData>
  <sheetProtection algorithmName="SHA-512" hashValue="xwQ3sgw9SEXn35yP/+y4gknotUl62MNJoJtLlxv81+ssUb/+j46hP3sARcl0vnZF6MNPf1oB1pU/zlRj9AlphQ==" saltValue="+0llujFpAdw8OpF6IhNAqA==" spinCount="100000" sheet="1" objects="1" scenarios="1"/>
  <mergeCells count="34">
    <mergeCell ref="A54:M54"/>
    <mergeCell ref="H50:I50"/>
    <mergeCell ref="H51:I51"/>
    <mergeCell ref="H52:I52"/>
    <mergeCell ref="B52:F52"/>
    <mergeCell ref="F34:G34"/>
    <mergeCell ref="F35:G35"/>
    <mergeCell ref="F36:G36"/>
    <mergeCell ref="F37:G37"/>
    <mergeCell ref="F38:G38"/>
    <mergeCell ref="F40:G40"/>
    <mergeCell ref="F41:G41"/>
    <mergeCell ref="B50:F50"/>
    <mergeCell ref="B51:F51"/>
    <mergeCell ref="F39:G39"/>
    <mergeCell ref="B46:C46"/>
    <mergeCell ref="F42:G42"/>
    <mergeCell ref="F43:G43"/>
    <mergeCell ref="F44:G44"/>
    <mergeCell ref="A48:M48"/>
    <mergeCell ref="A1:M1"/>
    <mergeCell ref="B12:E12"/>
    <mergeCell ref="B27:I27"/>
    <mergeCell ref="A14:M14"/>
    <mergeCell ref="A9:M9"/>
    <mergeCell ref="B11:E11"/>
    <mergeCell ref="A5:M7"/>
    <mergeCell ref="F33:G33"/>
    <mergeCell ref="F29:G29"/>
    <mergeCell ref="F30:G30"/>
    <mergeCell ref="H2:I4"/>
    <mergeCell ref="B22:L22"/>
    <mergeCell ref="F31:G31"/>
    <mergeCell ref="F32:G32"/>
  </mergeCells>
  <conditionalFormatting sqref="B52">
    <cfRule type="expression" dxfId="348" priority="7">
      <formula>#REF!&lt;&gt;"Prescriptive Path"</formula>
    </cfRule>
  </conditionalFormatting>
  <conditionalFormatting sqref="B51">
    <cfRule type="expression" dxfId="347" priority="8">
      <formula>#REF!&lt;&gt;"Prescriptive Path"</formula>
    </cfRule>
  </conditionalFormatting>
  <conditionalFormatting sqref="G51:H52">
    <cfRule type="expression" dxfId="346" priority="3">
      <formula>$B51="/"</formula>
    </cfRule>
    <cfRule type="expression" dxfId="345" priority="4">
      <formula>$B51="No evidence required at this submission stage"</formula>
    </cfRule>
  </conditionalFormatting>
  <dataValidations count="4">
    <dataValidation type="list" allowBlank="1" showInputMessage="1" showErrorMessage="1" sqref="G51:G52">
      <formula1>"Select,Submitted,Not submitted"</formula1>
    </dataValidation>
    <dataValidation type="list" allowBlank="1" showInputMessage="1" showErrorMessage="1" sqref="F30:G44">
      <formula1>"Select,Breathing zone, Mounted in return air ducts"</formula1>
    </dataValidation>
    <dataValidation type="list" allowBlank="1" showInputMessage="1" showErrorMessage="1" prompt="Select the CO2 monitoring technique applied (cf. above description)" sqref="H29:H44">
      <formula1>"Select,Technique 1, Technique 2"</formula1>
    </dataValidation>
    <dataValidation allowBlank="1" showInputMessage="1" showErrorMessage="1" prompt="CO2 concentration value set at which:_x000a_- fresh air supply is increased by the building automation system_x000a_- or an alarm is generated" sqref="I29:I44"/>
  </dataValidations>
  <hyperlinks>
    <hyperlink ref="J3" location="'H-1 Fresh Air Supply'!B3" tooltip="H-1" display="H-1"/>
    <hyperlink ref="J2" location="'H-PR-1 Indoor Smoking'!B3" tooltip="H-PR-1" display="H-PR-1"/>
    <hyperlink ref="L3" location="'H-8 External Views'!B3" tooltip="H-8" display="H-8"/>
    <hyperlink ref="L4" location="'H-9 Lighting Comfort'!B3" tooltip="H-9" display="H-9"/>
    <hyperlink ref="L2" location="'H-7 Daylighting'!B3" tooltip="H-7" display="H-7"/>
    <hyperlink ref="M2" location="'H-10 Thermal Comfort'!B3" tooltip="H-10" display="H-10"/>
    <hyperlink ref="M4" location="'H-12 Post-occupancy Comfort'!B3" tooltip="H-12" display="H-12"/>
    <hyperlink ref="K3" location="'H-5 Interior Plants'!B3" tooltip="H-5" display="H-5"/>
    <hyperlink ref="K2" location="'H-4 Removal of pollutants'!B3" tooltip="H-4" display="H-4"/>
    <hyperlink ref="K4" location="'H-6 Green Cleaning'!B3" tooltip="H-6" display="H-6"/>
    <hyperlink ref="J4" location="'H-3 Low-VOC Emissions '!D3" tooltip="H-3" display="H-3"/>
    <hyperlink ref="M3" location="'H-11 Acoustic Comfort'!B3" tooltip="H-11" display="H-11"/>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43634"/>
  </sheetPr>
  <dimension ref="A1:Q208"/>
  <sheetViews>
    <sheetView showRowColHeaders="0" workbookViewId="0">
      <pane ySplit="8" topLeftCell="A9" activePane="bottomLeft" state="frozen"/>
      <selection pane="bottomLeft" sqref="A1:N1"/>
    </sheetView>
  </sheetViews>
  <sheetFormatPr defaultColWidth="0" defaultRowHeight="15" customHeight="1" zeroHeight="1" x14ac:dyDescent="0.25"/>
  <cols>
    <col min="1" max="1" width="4.42578125" style="37" customWidth="1"/>
    <col min="2" max="3" width="18.28515625" style="37" customWidth="1"/>
    <col min="4" max="6" width="18.42578125" style="37" customWidth="1"/>
    <col min="7" max="7" width="19.42578125" style="37" customWidth="1"/>
    <col min="8" max="8" width="22.140625" style="37" customWidth="1"/>
    <col min="9" max="9" width="12.7109375" style="37" customWidth="1"/>
    <col min="10" max="10" width="9.140625" style="37" customWidth="1"/>
    <col min="11" max="11" width="8.42578125" style="37" customWidth="1"/>
    <col min="12" max="14" width="7.85546875" style="37" customWidth="1"/>
    <col min="15" max="16384" width="9.140625" style="37" hidden="1"/>
  </cols>
  <sheetData>
    <row r="1" spans="1:15" ht="23.25" x14ac:dyDescent="0.25">
      <c r="A1" s="2104" t="s">
        <v>2362</v>
      </c>
      <c r="B1" s="2104"/>
      <c r="C1" s="2104"/>
      <c r="D1" s="2104"/>
      <c r="E1" s="2104"/>
      <c r="F1" s="2104"/>
      <c r="G1" s="2104"/>
      <c r="H1" s="2104"/>
      <c r="I1" s="2104"/>
      <c r="J1" s="2104"/>
      <c r="K1" s="2104"/>
      <c r="L1" s="2104"/>
      <c r="M1" s="2104"/>
      <c r="N1" s="2104"/>
    </row>
    <row r="2" spans="1:15" ht="15" customHeight="1" x14ac:dyDescent="0.25">
      <c r="A2" s="48"/>
      <c r="B2" s="49"/>
      <c r="C2" s="49"/>
      <c r="D2" s="49"/>
      <c r="E2" s="49"/>
      <c r="F2" s="48"/>
      <c r="G2" s="48"/>
      <c r="H2" s="1694" t="s">
        <v>2361</v>
      </c>
      <c r="I2" s="1694"/>
      <c r="J2" s="1694"/>
      <c r="K2" s="752" t="s">
        <v>340</v>
      </c>
      <c r="L2" s="752" t="s">
        <v>37</v>
      </c>
      <c r="M2" s="752" t="s">
        <v>314</v>
      </c>
      <c r="N2" s="752" t="s">
        <v>317</v>
      </c>
    </row>
    <row r="3" spans="1:15" ht="15" customHeight="1" x14ac:dyDescent="0.25">
      <c r="A3" s="48"/>
      <c r="B3" s="49"/>
      <c r="C3" s="49"/>
      <c r="D3" s="49"/>
      <c r="E3" s="49"/>
      <c r="F3" s="48"/>
      <c r="G3" s="48"/>
      <c r="H3" s="1694"/>
      <c r="I3" s="1694"/>
      <c r="J3" s="1694"/>
      <c r="K3" s="752" t="s">
        <v>30</v>
      </c>
      <c r="L3" s="752" t="s">
        <v>248</v>
      </c>
      <c r="M3" s="752" t="s">
        <v>315</v>
      </c>
      <c r="N3" s="752" t="s">
        <v>318</v>
      </c>
    </row>
    <row r="4" spans="1:15" ht="15" customHeight="1" x14ac:dyDescent="0.25">
      <c r="A4" s="48"/>
      <c r="B4" s="49"/>
      <c r="C4" s="49"/>
      <c r="D4" s="49"/>
      <c r="E4" s="49"/>
      <c r="F4" s="48"/>
      <c r="G4" s="48"/>
      <c r="H4" s="1695"/>
      <c r="I4" s="1695"/>
      <c r="J4" s="1695"/>
      <c r="K4" s="752" t="s">
        <v>32</v>
      </c>
      <c r="L4" s="752" t="s">
        <v>313</v>
      </c>
      <c r="M4" s="752" t="s">
        <v>316</v>
      </c>
      <c r="N4" s="752" t="s">
        <v>319</v>
      </c>
    </row>
    <row r="5" spans="1:15" ht="20.25" customHeight="1" x14ac:dyDescent="0.25">
      <c r="A5" s="1704" t="s">
        <v>2835</v>
      </c>
      <c r="B5" s="1705"/>
      <c r="C5" s="1705"/>
      <c r="D5" s="1705"/>
      <c r="E5" s="1705"/>
      <c r="F5" s="1705"/>
      <c r="G5" s="1705"/>
      <c r="H5" s="1705"/>
      <c r="I5" s="1705"/>
      <c r="J5" s="1705"/>
      <c r="K5" s="1705"/>
      <c r="L5" s="1705"/>
      <c r="M5" s="1705"/>
      <c r="N5" s="1706"/>
    </row>
    <row r="6" spans="1:15" ht="20.25" customHeight="1" x14ac:dyDescent="0.25">
      <c r="A6" s="1707"/>
      <c r="B6" s="1708"/>
      <c r="C6" s="1708"/>
      <c r="D6" s="1708"/>
      <c r="E6" s="1708"/>
      <c r="F6" s="1708"/>
      <c r="G6" s="1708"/>
      <c r="H6" s="1708"/>
      <c r="I6" s="1708"/>
      <c r="J6" s="1708"/>
      <c r="K6" s="1708"/>
      <c r="L6" s="1708"/>
      <c r="M6" s="1708"/>
      <c r="N6" s="1709"/>
    </row>
    <row r="7" spans="1:15" ht="20.25" customHeight="1" x14ac:dyDescent="0.25">
      <c r="A7" s="1710"/>
      <c r="B7" s="1711"/>
      <c r="C7" s="1711"/>
      <c r="D7" s="1711"/>
      <c r="E7" s="1711"/>
      <c r="F7" s="1711"/>
      <c r="G7" s="1711"/>
      <c r="H7" s="1711"/>
      <c r="I7" s="1711"/>
      <c r="J7" s="1711"/>
      <c r="K7" s="1711"/>
      <c r="L7" s="1711"/>
      <c r="M7" s="1711"/>
      <c r="N7" s="1712"/>
    </row>
    <row r="8" spans="1:15" ht="12" customHeight="1" x14ac:dyDescent="0.25">
      <c r="A8" s="48"/>
      <c r="B8" s="49"/>
      <c r="C8" s="49"/>
      <c r="D8" s="49"/>
      <c r="E8" s="49"/>
      <c r="F8" s="48"/>
      <c r="G8" s="48"/>
      <c r="H8" s="48"/>
      <c r="I8" s="48"/>
      <c r="J8" s="48"/>
      <c r="K8" s="48"/>
      <c r="L8" s="48"/>
      <c r="M8" s="48"/>
      <c r="N8" s="48"/>
    </row>
    <row r="9" spans="1:15" ht="18" customHeight="1" x14ac:dyDescent="0.25">
      <c r="A9" s="2092" t="s">
        <v>95</v>
      </c>
      <c r="B9" s="2092"/>
      <c r="C9" s="2092"/>
      <c r="D9" s="2092"/>
      <c r="E9" s="2092"/>
      <c r="F9" s="2092"/>
      <c r="G9" s="2092"/>
      <c r="H9" s="2092"/>
      <c r="I9" s="2092"/>
      <c r="J9" s="2092"/>
      <c r="K9" s="2092"/>
      <c r="L9" s="2092"/>
      <c r="M9" s="2092"/>
      <c r="N9" s="2092"/>
    </row>
    <row r="10" spans="1:15" x14ac:dyDescent="0.25">
      <c r="A10" s="48"/>
      <c r="B10" s="49"/>
      <c r="C10" s="49"/>
      <c r="D10" s="49"/>
      <c r="E10" s="49"/>
      <c r="F10" s="48"/>
      <c r="G10" s="48"/>
      <c r="H10" s="48"/>
      <c r="I10" s="48"/>
      <c r="J10" s="48"/>
      <c r="K10" s="48"/>
      <c r="L10" s="48"/>
      <c r="M10" s="48"/>
      <c r="N10" s="48"/>
    </row>
    <row r="11" spans="1:15" ht="21" customHeight="1" x14ac:dyDescent="0.25">
      <c r="A11" s="48"/>
      <c r="B11" s="2097" t="s">
        <v>96</v>
      </c>
      <c r="C11" s="2098"/>
      <c r="D11" s="2098"/>
      <c r="E11" s="2098"/>
      <c r="F11" s="677" t="s">
        <v>75</v>
      </c>
      <c r="G11" s="677" t="s">
        <v>19</v>
      </c>
      <c r="H11" s="50" t="s">
        <v>151</v>
      </c>
      <c r="I11" s="48"/>
      <c r="J11" s="48"/>
      <c r="K11" s="48"/>
      <c r="L11" s="48"/>
      <c r="M11" s="48"/>
      <c r="N11" s="48"/>
    </row>
    <row r="12" spans="1:15" ht="27" customHeight="1" x14ac:dyDescent="0.25">
      <c r="A12" s="48"/>
      <c r="B12" s="2105" t="s">
        <v>2491</v>
      </c>
      <c r="C12" s="2106" t="s">
        <v>64</v>
      </c>
      <c r="D12" s="2106" t="s">
        <v>64</v>
      </c>
      <c r="E12" s="2107" t="s">
        <v>64</v>
      </c>
      <c r="F12" s="53">
        <v>1</v>
      </c>
      <c r="G12" s="136">
        <f>C64</f>
        <v>0</v>
      </c>
      <c r="H12" s="53" t="str">
        <f>C65</f>
        <v>No</v>
      </c>
      <c r="I12" s="48"/>
      <c r="J12" s="48"/>
      <c r="K12" s="48"/>
      <c r="L12" s="48"/>
      <c r="M12" s="48"/>
      <c r="N12" s="48"/>
      <c r="O12" s="37" t="str">
        <f>IF(G12&lt;&gt;0,IF(H12="No","No","Yes"),"Yes")</f>
        <v>Yes</v>
      </c>
    </row>
    <row r="13" spans="1:15" ht="27" customHeight="1" x14ac:dyDescent="0.25">
      <c r="A13" s="48"/>
      <c r="B13" s="2105" t="s">
        <v>2489</v>
      </c>
      <c r="C13" s="2106" t="s">
        <v>65</v>
      </c>
      <c r="D13" s="2106" t="s">
        <v>65</v>
      </c>
      <c r="E13" s="2107" t="s">
        <v>65</v>
      </c>
      <c r="F13" s="53">
        <v>1</v>
      </c>
      <c r="G13" s="136">
        <f>C99</f>
        <v>0</v>
      </c>
      <c r="H13" s="53" t="str">
        <f>C100</f>
        <v>No</v>
      </c>
      <c r="I13" s="48"/>
      <c r="J13" s="48"/>
      <c r="K13" s="48"/>
      <c r="L13" s="48"/>
      <c r="M13" s="48"/>
      <c r="N13" s="48"/>
      <c r="O13" s="37" t="str">
        <f t="shared" ref="O13:O16" si="0">IF(G13&lt;&gt;0,IF(H13="No","No","Yes"),"Yes")</f>
        <v>Yes</v>
      </c>
    </row>
    <row r="14" spans="1:15" ht="27" customHeight="1" x14ac:dyDescent="0.25">
      <c r="A14" s="48"/>
      <c r="B14" s="2105" t="s">
        <v>2490</v>
      </c>
      <c r="C14" s="2106" t="s">
        <v>66</v>
      </c>
      <c r="D14" s="2106" t="s">
        <v>66</v>
      </c>
      <c r="E14" s="2107" t="s">
        <v>66</v>
      </c>
      <c r="F14" s="53">
        <v>1</v>
      </c>
      <c r="G14" s="148">
        <f>C135</f>
        <v>0</v>
      </c>
      <c r="H14" s="53" t="str">
        <f>C136</f>
        <v>No</v>
      </c>
      <c r="I14" s="48"/>
      <c r="J14" s="48"/>
      <c r="K14" s="48"/>
      <c r="L14" s="48"/>
      <c r="M14" s="48"/>
      <c r="N14" s="48"/>
      <c r="O14" s="37" t="str">
        <f t="shared" si="0"/>
        <v>Yes</v>
      </c>
    </row>
    <row r="15" spans="1:15" ht="27" customHeight="1" x14ac:dyDescent="0.25">
      <c r="A15" s="48"/>
      <c r="B15" s="2105" t="s">
        <v>2492</v>
      </c>
      <c r="C15" s="2106" t="s">
        <v>67</v>
      </c>
      <c r="D15" s="2106" t="s">
        <v>67</v>
      </c>
      <c r="E15" s="2107" t="s">
        <v>67</v>
      </c>
      <c r="F15" s="53">
        <v>1</v>
      </c>
      <c r="G15" s="136">
        <f>C170</f>
        <v>0</v>
      </c>
      <c r="H15" s="53" t="str">
        <f>C171</f>
        <v>No</v>
      </c>
      <c r="I15" s="48"/>
      <c r="J15" s="48"/>
      <c r="K15" s="48"/>
      <c r="L15" s="48"/>
      <c r="M15" s="48"/>
      <c r="N15" s="48"/>
      <c r="O15" s="37" t="str">
        <f t="shared" si="0"/>
        <v>Yes</v>
      </c>
    </row>
    <row r="16" spans="1:15" ht="27" customHeight="1" x14ac:dyDescent="0.25">
      <c r="A16" s="48"/>
      <c r="B16" s="2105" t="s">
        <v>2493</v>
      </c>
      <c r="C16" s="2106" t="s">
        <v>67</v>
      </c>
      <c r="D16" s="2106" t="s">
        <v>67</v>
      </c>
      <c r="E16" s="2107" t="s">
        <v>67</v>
      </c>
      <c r="F16" s="320">
        <v>1</v>
      </c>
      <c r="G16" s="320">
        <f>C206</f>
        <v>0</v>
      </c>
      <c r="H16" s="320" t="str">
        <f>C207</f>
        <v>No</v>
      </c>
      <c r="I16" s="48"/>
      <c r="J16" s="48"/>
      <c r="K16" s="48"/>
      <c r="L16" s="48"/>
      <c r="M16" s="48"/>
      <c r="N16" s="48"/>
      <c r="O16" s="37" t="str">
        <f t="shared" si="0"/>
        <v>Yes</v>
      </c>
    </row>
    <row r="17" spans="1:14" ht="21" customHeight="1" x14ac:dyDescent="0.25">
      <c r="A17" s="48"/>
      <c r="B17" s="1713" t="s">
        <v>29</v>
      </c>
      <c r="C17" s="1740"/>
      <c r="D17" s="1740"/>
      <c r="E17" s="1741"/>
      <c r="F17" s="612">
        <v>4</v>
      </c>
      <c r="G17" s="612">
        <f>MIN(4,G12+G13+G14+G15+G16)</f>
        <v>0</v>
      </c>
      <c r="H17" s="612" t="str">
        <f>IF(COUNTIF(H12:H16,"No")=5,"No",IF(COUNTIF(O12:O16,"Yes")=5,"Yes","No"))</f>
        <v>No</v>
      </c>
      <c r="I17" s="48"/>
      <c r="J17" s="48"/>
      <c r="K17" s="48"/>
      <c r="L17" s="48"/>
      <c r="M17" s="48"/>
      <c r="N17" s="48"/>
    </row>
    <row r="18" spans="1:14" x14ac:dyDescent="0.25">
      <c r="A18" s="48"/>
      <c r="B18" s="49"/>
      <c r="C18" s="49"/>
      <c r="D18" s="49"/>
      <c r="E18" s="49"/>
      <c r="F18" s="48"/>
      <c r="G18" s="48"/>
      <c r="H18" s="48"/>
      <c r="I18" s="48"/>
      <c r="J18" s="48"/>
      <c r="K18" s="48"/>
      <c r="L18" s="48"/>
      <c r="M18" s="48"/>
      <c r="N18" s="48"/>
    </row>
    <row r="19" spans="1:14" ht="18" customHeight="1" x14ac:dyDescent="0.25">
      <c r="A19" s="2092" t="s">
        <v>1184</v>
      </c>
      <c r="B19" s="2092"/>
      <c r="C19" s="2092"/>
      <c r="D19" s="2092"/>
      <c r="E19" s="2092"/>
      <c r="F19" s="2092"/>
      <c r="G19" s="2092"/>
      <c r="H19" s="2092"/>
      <c r="I19" s="2092"/>
      <c r="J19" s="2092"/>
      <c r="K19" s="2092"/>
      <c r="L19" s="2092"/>
      <c r="M19" s="2092"/>
      <c r="N19" s="2092"/>
    </row>
    <row r="20" spans="1:14" x14ac:dyDescent="0.25">
      <c r="A20" s="48"/>
      <c r="B20" s="49"/>
      <c r="C20" s="49"/>
      <c r="D20" s="49"/>
      <c r="E20" s="49"/>
      <c r="F20" s="48"/>
      <c r="G20" s="48"/>
      <c r="H20" s="48"/>
      <c r="I20" s="48"/>
      <c r="J20" s="48"/>
      <c r="K20" s="48"/>
      <c r="L20" s="48"/>
      <c r="M20" s="48"/>
      <c r="N20" s="48"/>
    </row>
    <row r="21" spans="1:14" x14ac:dyDescent="0.25">
      <c r="A21" s="48"/>
      <c r="B21" s="2116" t="s">
        <v>2798</v>
      </c>
      <c r="C21" s="2117"/>
      <c r="D21" s="2117"/>
      <c r="E21" s="2117"/>
      <c r="F21" s="2117"/>
      <c r="G21" s="2117"/>
      <c r="H21" s="2117"/>
      <c r="I21" s="2117"/>
      <c r="J21" s="2117"/>
      <c r="K21" s="2118"/>
      <c r="L21" s="48"/>
      <c r="M21" s="48"/>
      <c r="N21" s="48"/>
    </row>
    <row r="22" spans="1:14" x14ac:dyDescent="0.25">
      <c r="A22" s="48"/>
      <c r="B22" s="2119" t="s">
        <v>2799</v>
      </c>
      <c r="C22" s="2120"/>
      <c r="D22" s="2120"/>
      <c r="E22" s="2120"/>
      <c r="F22" s="2120"/>
      <c r="G22" s="2120"/>
      <c r="H22" s="2120"/>
      <c r="I22" s="2120"/>
      <c r="J22" s="2120"/>
      <c r="K22" s="2121"/>
      <c r="L22" s="48"/>
      <c r="M22" s="48"/>
      <c r="N22" s="48"/>
    </row>
    <row r="23" spans="1:14" ht="25.5" customHeight="1" x14ac:dyDescent="0.25">
      <c r="A23" s="48"/>
      <c r="B23" s="2122" t="s">
        <v>2801</v>
      </c>
      <c r="C23" s="2123"/>
      <c r="D23" s="2123"/>
      <c r="E23" s="2123"/>
      <c r="F23" s="2123"/>
      <c r="G23" s="2123"/>
      <c r="H23" s="2123"/>
      <c r="I23" s="2123"/>
      <c r="J23" s="2123"/>
      <c r="K23" s="2124"/>
      <c r="L23" s="48"/>
      <c r="M23" s="48"/>
      <c r="N23" s="48"/>
    </row>
    <row r="24" spans="1:14" x14ac:dyDescent="0.25">
      <c r="A24" s="48"/>
      <c r="B24" s="2125" t="s">
        <v>2800</v>
      </c>
      <c r="C24" s="2126"/>
      <c r="D24" s="2126"/>
      <c r="E24" s="2126"/>
      <c r="F24" s="2126"/>
      <c r="G24" s="2126"/>
      <c r="H24" s="2126"/>
      <c r="I24" s="2126"/>
      <c r="J24" s="2126"/>
      <c r="K24" s="2127"/>
      <c r="L24" s="48"/>
      <c r="M24" s="48"/>
      <c r="N24" s="48"/>
    </row>
    <row r="25" spans="1:14" ht="19.5" customHeight="1" x14ac:dyDescent="0.25">
      <c r="A25" s="48"/>
      <c r="B25" s="49"/>
      <c r="C25" s="49"/>
      <c r="D25" s="49"/>
      <c r="E25" s="49"/>
      <c r="F25" s="48"/>
      <c r="G25" s="48"/>
      <c r="H25" s="48"/>
      <c r="I25" s="48"/>
      <c r="J25" s="48"/>
      <c r="K25" s="48"/>
      <c r="L25" s="48"/>
      <c r="M25" s="48"/>
      <c r="N25" s="48"/>
    </row>
    <row r="26" spans="1:14" x14ac:dyDescent="0.25">
      <c r="A26" s="48"/>
      <c r="B26" s="2116" t="s">
        <v>1948</v>
      </c>
      <c r="C26" s="2117"/>
      <c r="D26" s="2117"/>
      <c r="E26" s="2117"/>
      <c r="F26" s="2117"/>
      <c r="G26" s="2117"/>
      <c r="H26" s="2117"/>
      <c r="I26" s="2117"/>
      <c r="J26" s="2117"/>
      <c r="K26" s="2118"/>
      <c r="L26" s="48"/>
      <c r="M26" s="48"/>
      <c r="N26" s="48"/>
    </row>
    <row r="27" spans="1:14" x14ac:dyDescent="0.25">
      <c r="A27" s="48"/>
      <c r="B27" s="2119" t="s">
        <v>1051</v>
      </c>
      <c r="C27" s="2120"/>
      <c r="D27" s="2120"/>
      <c r="E27" s="2120"/>
      <c r="F27" s="2120"/>
      <c r="G27" s="2120"/>
      <c r="H27" s="2120"/>
      <c r="I27" s="2120"/>
      <c r="J27" s="2120"/>
      <c r="K27" s="2121"/>
      <c r="L27" s="48"/>
      <c r="M27" s="48"/>
      <c r="N27" s="48"/>
    </row>
    <row r="28" spans="1:14" x14ac:dyDescent="0.25">
      <c r="A28" s="48"/>
      <c r="B28" s="2122" t="s">
        <v>1950</v>
      </c>
      <c r="C28" s="2123"/>
      <c r="D28" s="2123"/>
      <c r="E28" s="2123"/>
      <c r="F28" s="2123"/>
      <c r="G28" s="2123"/>
      <c r="H28" s="2123"/>
      <c r="I28" s="2123"/>
      <c r="J28" s="2123"/>
      <c r="K28" s="2124"/>
      <c r="L28" s="48"/>
      <c r="M28" s="48"/>
      <c r="N28" s="48"/>
    </row>
    <row r="29" spans="1:14" x14ac:dyDescent="0.25">
      <c r="A29" s="48"/>
      <c r="B29" s="2122" t="s">
        <v>1949</v>
      </c>
      <c r="C29" s="2123"/>
      <c r="D29" s="2123"/>
      <c r="E29" s="2123"/>
      <c r="F29" s="2123"/>
      <c r="G29" s="2123"/>
      <c r="H29" s="2123"/>
      <c r="I29" s="2123"/>
      <c r="J29" s="2123"/>
      <c r="K29" s="2124"/>
      <c r="L29" s="48"/>
      <c r="M29" s="48"/>
      <c r="N29" s="48"/>
    </row>
    <row r="30" spans="1:14" x14ac:dyDescent="0.25">
      <c r="A30" s="48"/>
      <c r="B30" s="2125" t="s">
        <v>1125</v>
      </c>
      <c r="C30" s="2126"/>
      <c r="D30" s="2126"/>
      <c r="E30" s="2126"/>
      <c r="F30" s="2126"/>
      <c r="G30" s="2126"/>
      <c r="H30" s="2126"/>
      <c r="I30" s="2126"/>
      <c r="J30" s="2126"/>
      <c r="K30" s="2127"/>
      <c r="L30" s="48"/>
      <c r="M30" s="48"/>
      <c r="N30" s="48"/>
    </row>
    <row r="31" spans="1:14" ht="18.75" customHeight="1" x14ac:dyDescent="0.25">
      <c r="A31" s="48"/>
      <c r="B31" s="49"/>
      <c r="C31" s="49"/>
      <c r="D31" s="49"/>
      <c r="E31" s="49"/>
      <c r="F31" s="48"/>
      <c r="G31" s="48"/>
      <c r="H31" s="48"/>
      <c r="I31" s="48"/>
      <c r="J31" s="48"/>
      <c r="K31" s="48"/>
      <c r="L31" s="48"/>
      <c r="M31" s="48"/>
      <c r="N31" s="48"/>
    </row>
    <row r="32" spans="1:14" ht="18" customHeight="1" x14ac:dyDescent="0.25">
      <c r="A32" s="2092" t="s">
        <v>167</v>
      </c>
      <c r="B32" s="2092"/>
      <c r="C32" s="2092"/>
      <c r="D32" s="2092"/>
      <c r="E32" s="2092"/>
      <c r="F32" s="2092"/>
      <c r="G32" s="2092"/>
      <c r="H32" s="2092"/>
      <c r="I32" s="2092"/>
      <c r="J32" s="2092"/>
      <c r="K32" s="2092"/>
      <c r="L32" s="2092"/>
      <c r="M32" s="2092"/>
      <c r="N32" s="2092"/>
    </row>
    <row r="33" spans="1:14" x14ac:dyDescent="0.25">
      <c r="A33" s="48"/>
      <c r="B33" s="48"/>
      <c r="C33" s="48"/>
      <c r="D33" s="48"/>
      <c r="E33" s="49"/>
      <c r="F33" s="48"/>
      <c r="G33" s="48"/>
      <c r="H33" s="48"/>
      <c r="I33" s="48"/>
      <c r="J33" s="48"/>
      <c r="K33" s="48"/>
      <c r="L33" s="48"/>
      <c r="M33" s="48"/>
      <c r="N33" s="48"/>
    </row>
    <row r="34" spans="1:14" ht="16.5" customHeight="1" x14ac:dyDescent="0.25">
      <c r="A34" s="2115" t="s">
        <v>117</v>
      </c>
      <c r="B34" s="2115"/>
      <c r="C34" s="2115"/>
      <c r="D34" s="48"/>
      <c r="E34" s="49"/>
      <c r="F34" s="48"/>
      <c r="G34" s="48"/>
      <c r="H34" s="48"/>
      <c r="I34" s="48"/>
      <c r="J34" s="48"/>
      <c r="K34" s="48"/>
      <c r="L34" s="48"/>
      <c r="M34" s="48"/>
      <c r="N34" s="48"/>
    </row>
    <row r="35" spans="1:14" ht="12.75" customHeight="1" x14ac:dyDescent="0.25">
      <c r="A35" s="48"/>
      <c r="B35" s="48"/>
      <c r="C35" s="48"/>
      <c r="D35" s="48"/>
      <c r="E35" s="49"/>
      <c r="F35" s="48"/>
      <c r="G35" s="48"/>
      <c r="H35" s="48"/>
      <c r="I35" s="48"/>
      <c r="J35" s="48"/>
      <c r="K35" s="48"/>
      <c r="L35" s="48"/>
      <c r="M35" s="48"/>
      <c r="N35" s="48"/>
    </row>
    <row r="36" spans="1:14" x14ac:dyDescent="0.25">
      <c r="A36" s="48"/>
      <c r="B36" s="681" t="s">
        <v>1052</v>
      </c>
      <c r="C36" s="49"/>
      <c r="D36" s="49"/>
      <c r="E36" s="49"/>
      <c r="F36" s="48"/>
      <c r="G36" s="48"/>
      <c r="H36" s="48"/>
      <c r="I36" s="48"/>
      <c r="J36" s="48"/>
      <c r="K36" s="48"/>
      <c r="L36" s="48"/>
      <c r="M36" s="48"/>
      <c r="N36" s="48"/>
    </row>
    <row r="37" spans="1:14" ht="18" customHeight="1" x14ac:dyDescent="0.25">
      <c r="A37" s="48"/>
      <c r="B37" s="49"/>
      <c r="C37" s="49"/>
      <c r="D37" s="49"/>
      <c r="E37" s="49"/>
      <c r="F37" s="48"/>
      <c r="G37" s="48"/>
      <c r="H37" s="48"/>
      <c r="I37" s="48"/>
      <c r="J37" s="48"/>
      <c r="K37" s="48"/>
      <c r="L37" s="48"/>
      <c r="M37" s="48"/>
      <c r="N37" s="48"/>
    </row>
    <row r="38" spans="1:14" x14ac:dyDescent="0.25">
      <c r="A38" s="48"/>
      <c r="B38" s="680" t="s">
        <v>1121</v>
      </c>
      <c r="C38" s="49"/>
      <c r="D38" s="49"/>
      <c r="E38" s="49"/>
      <c r="F38" s="48"/>
      <c r="G38" s="48"/>
      <c r="H38" s="48"/>
      <c r="I38" s="48"/>
      <c r="J38" s="48"/>
      <c r="K38" s="48"/>
      <c r="L38" s="48"/>
      <c r="M38" s="48"/>
      <c r="N38" s="48"/>
    </row>
    <row r="39" spans="1:14" ht="18" customHeight="1" x14ac:dyDescent="0.25">
      <c r="A39" s="48"/>
      <c r="B39" s="49"/>
      <c r="C39" s="49"/>
      <c r="D39" s="49"/>
      <c r="E39" s="49"/>
      <c r="F39" s="48"/>
      <c r="G39" s="48"/>
      <c r="H39" s="48"/>
      <c r="I39" s="48"/>
      <c r="J39" s="48"/>
      <c r="K39" s="48"/>
      <c r="L39" s="48"/>
      <c r="M39" s="48"/>
      <c r="N39" s="48"/>
    </row>
    <row r="40" spans="1:14" ht="15" customHeight="1" x14ac:dyDescent="0.25">
      <c r="A40" s="48"/>
      <c r="B40" s="1900" t="s">
        <v>1124</v>
      </c>
      <c r="C40" s="1900"/>
      <c r="D40" s="1900"/>
      <c r="E40" s="1900"/>
      <c r="F40" s="1900"/>
      <c r="G40" s="1900"/>
      <c r="H40" s="48"/>
      <c r="I40" s="48"/>
      <c r="J40" s="48"/>
      <c r="K40" s="48"/>
      <c r="L40" s="48"/>
      <c r="M40" s="48"/>
      <c r="N40" s="48"/>
    </row>
    <row r="41" spans="1:14" ht="12" customHeight="1" x14ac:dyDescent="0.25">
      <c r="A41" s="48"/>
      <c r="B41" s="49"/>
      <c r="C41" s="49"/>
      <c r="D41" s="49"/>
      <c r="E41" s="49"/>
      <c r="F41" s="48"/>
      <c r="G41" s="48"/>
      <c r="H41" s="48"/>
      <c r="I41" s="48"/>
      <c r="J41" s="48"/>
      <c r="K41" s="48"/>
      <c r="L41" s="48"/>
      <c r="M41" s="48"/>
      <c r="N41" s="48"/>
    </row>
    <row r="42" spans="1:14" ht="26.25" customHeight="1" x14ac:dyDescent="0.25">
      <c r="A42" s="48"/>
      <c r="B42" s="255" t="s">
        <v>105</v>
      </c>
      <c r="C42" s="260" t="s">
        <v>104</v>
      </c>
      <c r="D42" s="1263" t="s">
        <v>2494</v>
      </c>
      <c r="E42" s="260" t="s">
        <v>197</v>
      </c>
      <c r="F42" s="260" t="s">
        <v>106</v>
      </c>
      <c r="G42" s="256" t="s">
        <v>89</v>
      </c>
      <c r="H42" s="2110" t="s">
        <v>15</v>
      </c>
      <c r="I42" s="2110"/>
      <c r="J42" s="2114"/>
      <c r="K42" s="48"/>
      <c r="L42" s="48"/>
      <c r="M42" s="48"/>
      <c r="N42" s="48"/>
    </row>
    <row r="43" spans="1:14" x14ac:dyDescent="0.25">
      <c r="A43" s="48"/>
      <c r="B43" s="149"/>
      <c r="C43" s="106"/>
      <c r="D43" s="285" t="s">
        <v>62</v>
      </c>
      <c r="E43" s="106"/>
      <c r="F43" s="106"/>
      <c r="G43" s="181" t="str">
        <f>IF(OR(D43="",D43="Select"),"",IF(OR(D43="Inherently non-emitting product",D43="Certified product"),"Yes",IF(AND(E43&lt;&gt;"",F43&lt;&gt;""),IF(E43&lt;F43,"Yes","No"),"No")))</f>
        <v/>
      </c>
      <c r="H43" s="1648"/>
      <c r="I43" s="1648"/>
      <c r="J43" s="1648"/>
      <c r="K43" s="48"/>
      <c r="L43" s="48"/>
      <c r="M43" s="48"/>
      <c r="N43" s="48"/>
    </row>
    <row r="44" spans="1:14" x14ac:dyDescent="0.25">
      <c r="A44" s="48"/>
      <c r="B44" s="696"/>
      <c r="C44" s="699"/>
      <c r="D44" s="1259" t="s">
        <v>62</v>
      </c>
      <c r="E44" s="699"/>
      <c r="F44" s="699"/>
      <c r="G44" s="181" t="str">
        <f t="shared" ref="G44:G52" si="1">IF(OR(D44="",D44="Select"),"",IF(OR(D44="Inherently non-emitting product",D44="Certified product"),"Yes",IF(AND(E44&lt;&gt;"",F44&lt;&gt;""),IF(E44&lt;F44,"Yes","No"),"No")))</f>
        <v/>
      </c>
      <c r="H44" s="1648"/>
      <c r="I44" s="1648"/>
      <c r="J44" s="1648"/>
      <c r="K44" s="48"/>
      <c r="L44" s="48"/>
      <c r="M44" s="48"/>
      <c r="N44" s="48"/>
    </row>
    <row r="45" spans="1:14" x14ac:dyDescent="0.25">
      <c r="A45" s="48"/>
      <c r="B45" s="696"/>
      <c r="C45" s="699"/>
      <c r="D45" s="1259" t="s">
        <v>62</v>
      </c>
      <c r="E45" s="699"/>
      <c r="F45" s="699"/>
      <c r="G45" s="181" t="str">
        <f t="shared" si="1"/>
        <v/>
      </c>
      <c r="H45" s="1648"/>
      <c r="I45" s="1648"/>
      <c r="J45" s="1648"/>
      <c r="K45" s="48"/>
      <c r="L45" s="48"/>
      <c r="M45" s="48"/>
      <c r="N45" s="48"/>
    </row>
    <row r="46" spans="1:14" x14ac:dyDescent="0.25">
      <c r="A46" s="48"/>
      <c r="B46" s="696"/>
      <c r="C46" s="699"/>
      <c r="D46" s="1259" t="s">
        <v>62</v>
      </c>
      <c r="E46" s="699"/>
      <c r="F46" s="699"/>
      <c r="G46" s="181" t="str">
        <f t="shared" si="1"/>
        <v/>
      </c>
      <c r="H46" s="1648"/>
      <c r="I46" s="1648"/>
      <c r="J46" s="1648"/>
      <c r="K46" s="48"/>
      <c r="L46" s="48"/>
      <c r="M46" s="48"/>
      <c r="N46" s="48"/>
    </row>
    <row r="47" spans="1:14" x14ac:dyDescent="0.25">
      <c r="A47" s="48"/>
      <c r="B47" s="696"/>
      <c r="C47" s="699"/>
      <c r="D47" s="1259" t="s">
        <v>62</v>
      </c>
      <c r="E47" s="699"/>
      <c r="F47" s="699"/>
      <c r="G47" s="181" t="str">
        <f t="shared" si="1"/>
        <v/>
      </c>
      <c r="H47" s="1648"/>
      <c r="I47" s="1648"/>
      <c r="J47" s="1648"/>
      <c r="K47" s="48"/>
      <c r="L47" s="48"/>
      <c r="M47" s="48"/>
      <c r="N47" s="48"/>
    </row>
    <row r="48" spans="1:14" x14ac:dyDescent="0.25">
      <c r="A48" s="48"/>
      <c r="B48" s="696"/>
      <c r="C48" s="699"/>
      <c r="D48" s="1259" t="s">
        <v>62</v>
      </c>
      <c r="E48" s="699"/>
      <c r="F48" s="699"/>
      <c r="G48" s="181" t="str">
        <f t="shared" si="1"/>
        <v/>
      </c>
      <c r="H48" s="1648"/>
      <c r="I48" s="1648"/>
      <c r="J48" s="1648"/>
      <c r="K48" s="48"/>
      <c r="L48" s="48"/>
      <c r="M48" s="48"/>
      <c r="N48" s="48"/>
    </row>
    <row r="49" spans="1:15" x14ac:dyDescent="0.25">
      <c r="A49" s="48"/>
      <c r="B49" s="142"/>
      <c r="C49" s="107"/>
      <c r="D49" s="1259" t="s">
        <v>62</v>
      </c>
      <c r="E49" s="107"/>
      <c r="F49" s="107"/>
      <c r="G49" s="181" t="str">
        <f t="shared" si="1"/>
        <v/>
      </c>
      <c r="H49" s="1648"/>
      <c r="I49" s="1648"/>
      <c r="J49" s="1648"/>
      <c r="K49" s="48"/>
      <c r="L49" s="48"/>
      <c r="M49" s="48"/>
      <c r="N49" s="48"/>
    </row>
    <row r="50" spans="1:15" x14ac:dyDescent="0.25">
      <c r="A50" s="48"/>
      <c r="B50" s="142"/>
      <c r="C50" s="107"/>
      <c r="D50" s="1259" t="s">
        <v>62</v>
      </c>
      <c r="E50" s="107"/>
      <c r="F50" s="107"/>
      <c r="G50" s="181" t="str">
        <f t="shared" si="1"/>
        <v/>
      </c>
      <c r="H50" s="1648"/>
      <c r="I50" s="1648"/>
      <c r="J50" s="1648"/>
      <c r="K50" s="48"/>
      <c r="L50" s="48"/>
      <c r="M50" s="48"/>
      <c r="N50" s="48"/>
    </row>
    <row r="51" spans="1:15" x14ac:dyDescent="0.25">
      <c r="A51" s="48"/>
      <c r="B51" s="142"/>
      <c r="C51" s="107"/>
      <c r="D51" s="1259" t="s">
        <v>62</v>
      </c>
      <c r="E51" s="107"/>
      <c r="F51" s="107"/>
      <c r="G51" s="181" t="str">
        <f t="shared" si="1"/>
        <v/>
      </c>
      <c r="H51" s="1648"/>
      <c r="I51" s="1648"/>
      <c r="J51" s="1648"/>
      <c r="K51" s="48"/>
      <c r="L51" s="48"/>
      <c r="M51" s="48"/>
      <c r="N51" s="48"/>
    </row>
    <row r="52" spans="1:15" x14ac:dyDescent="0.25">
      <c r="A52" s="48"/>
      <c r="B52" s="142"/>
      <c r="C52" s="107"/>
      <c r="D52" s="1259" t="s">
        <v>62</v>
      </c>
      <c r="E52" s="107"/>
      <c r="F52" s="107"/>
      <c r="G52" s="181" t="str">
        <f t="shared" si="1"/>
        <v/>
      </c>
      <c r="H52" s="1648"/>
      <c r="I52" s="1648"/>
      <c r="J52" s="1648"/>
      <c r="K52" s="48"/>
      <c r="L52" s="48"/>
      <c r="M52" s="48"/>
      <c r="N52" s="48"/>
    </row>
    <row r="53" spans="1:15" x14ac:dyDescent="0.25">
      <c r="A53" s="48"/>
      <c r="B53" s="49"/>
      <c r="C53" s="49"/>
      <c r="D53" s="49"/>
      <c r="E53" s="49"/>
      <c r="F53" s="48"/>
      <c r="G53" s="48"/>
      <c r="H53" s="48"/>
      <c r="I53" s="48"/>
      <c r="J53" s="48"/>
      <c r="K53" s="48"/>
      <c r="L53" s="48"/>
      <c r="M53" s="48"/>
      <c r="N53" s="48"/>
    </row>
    <row r="54" spans="1:15" ht="18" customHeight="1" x14ac:dyDescent="0.25">
      <c r="A54" s="48"/>
      <c r="B54" s="2102" t="s">
        <v>107</v>
      </c>
      <c r="C54" s="2102"/>
      <c r="D54" s="70" t="str">
        <f>IF(COUNTBLANK(G43:G52)=10,"",IF(COUNTIF(G43:G52,"No")=0,"Yes","No"))</f>
        <v/>
      </c>
      <c r="E54" s="48"/>
      <c r="F54" s="48"/>
      <c r="G54" s="48"/>
      <c r="H54" s="48"/>
      <c r="I54" s="48"/>
      <c r="J54" s="48"/>
      <c r="K54" s="48"/>
      <c r="L54" s="48"/>
      <c r="M54" s="48"/>
      <c r="N54" s="48"/>
    </row>
    <row r="55" spans="1:15" ht="19.5" customHeight="1" x14ac:dyDescent="0.25">
      <c r="A55" s="48"/>
      <c r="B55" s="49"/>
      <c r="C55" s="49"/>
      <c r="D55" s="49"/>
      <c r="E55" s="48"/>
      <c r="F55" s="48"/>
      <c r="G55" s="48"/>
      <c r="H55" s="48"/>
      <c r="I55" s="48"/>
      <c r="J55" s="48"/>
      <c r="K55" s="48"/>
      <c r="L55" s="48"/>
      <c r="M55" s="48"/>
      <c r="N55" s="48"/>
    </row>
    <row r="56" spans="1:15" ht="16.5" customHeight="1" x14ac:dyDescent="0.25">
      <c r="A56" s="2115" t="s">
        <v>97</v>
      </c>
      <c r="B56" s="2115"/>
      <c r="C56" s="2115"/>
      <c r="D56" s="49"/>
      <c r="E56" s="49"/>
      <c r="F56" s="49"/>
      <c r="G56" s="49"/>
      <c r="H56" s="49"/>
      <c r="I56" s="49"/>
      <c r="J56" s="49"/>
      <c r="K56" s="49"/>
      <c r="L56" s="49"/>
      <c r="M56" s="49"/>
      <c r="N56" s="48"/>
    </row>
    <row r="57" spans="1:15" x14ac:dyDescent="0.25">
      <c r="A57" s="48"/>
      <c r="B57" s="49"/>
      <c r="C57" s="49"/>
      <c r="D57" s="49"/>
      <c r="E57" s="48"/>
      <c r="F57" s="48"/>
      <c r="G57" s="48"/>
      <c r="H57" s="48"/>
      <c r="I57" s="48"/>
      <c r="J57" s="48"/>
      <c r="K57" s="48"/>
      <c r="L57" s="48"/>
      <c r="M57" s="48"/>
      <c r="N57" s="48"/>
    </row>
    <row r="58" spans="1:15" ht="21" customHeight="1" x14ac:dyDescent="0.25">
      <c r="A58" s="48"/>
      <c r="B58" s="2093" t="s">
        <v>98</v>
      </c>
      <c r="C58" s="2094"/>
      <c r="D58" s="2094"/>
      <c r="E58" s="2094"/>
      <c r="F58" s="2094"/>
      <c r="G58" s="256" t="s">
        <v>1297</v>
      </c>
      <c r="H58" s="2095" t="s">
        <v>1298</v>
      </c>
      <c r="I58" s="2095"/>
      <c r="J58" s="48"/>
      <c r="K58" s="48"/>
      <c r="L58" s="48"/>
      <c r="M58" s="48"/>
      <c r="N58" s="48"/>
    </row>
    <row r="59" spans="1:15" ht="30" customHeight="1" x14ac:dyDescent="0.25">
      <c r="A59" s="48"/>
      <c r="B59" s="1644" t="str">
        <f>Submittals!H89</f>
        <v>Select the Submission Stage in Project Information</v>
      </c>
      <c r="C59" s="1645" t="s">
        <v>262</v>
      </c>
      <c r="D59" s="1645"/>
      <c r="E59" s="1645"/>
      <c r="F59" s="1645"/>
      <c r="G59" s="810" t="s">
        <v>62</v>
      </c>
      <c r="H59" s="1625"/>
      <c r="I59" s="1626"/>
      <c r="J59" s="48"/>
      <c r="K59" s="48"/>
      <c r="L59" s="48"/>
      <c r="M59" s="48"/>
      <c r="N59" s="48"/>
      <c r="O59" s="37" t="str">
        <f>IF(OR(B59="/",B59="No evidence required at this submission stage"),"Yes",IF(G59="Submitted","Yes","No"))</f>
        <v>No</v>
      </c>
    </row>
    <row r="60" spans="1:15" ht="30" customHeight="1" x14ac:dyDescent="0.25">
      <c r="A60" s="48"/>
      <c r="B60" s="1644" t="str">
        <f>Submittals!H90</f>
        <v>Select the Submission Stage in Project Information</v>
      </c>
      <c r="C60" s="1645" t="s">
        <v>262</v>
      </c>
      <c r="D60" s="1645"/>
      <c r="E60" s="1645"/>
      <c r="F60" s="1645"/>
      <c r="G60" s="810" t="s">
        <v>62</v>
      </c>
      <c r="H60" s="1625"/>
      <c r="I60" s="1626"/>
      <c r="J60" s="48"/>
      <c r="K60" s="48"/>
      <c r="L60" s="48"/>
      <c r="M60" s="48"/>
      <c r="N60" s="48"/>
      <c r="O60" s="37" t="str">
        <f>IF(OR(B60="/",B60="No evidence required at this submission stage"),"Yes",IF(G60="Submitted","Yes","No"))</f>
        <v>No</v>
      </c>
    </row>
    <row r="61" spans="1:15" ht="16.5" customHeight="1" x14ac:dyDescent="0.25">
      <c r="A61" s="48"/>
      <c r="B61" s="49"/>
      <c r="C61" s="49"/>
      <c r="D61" s="49"/>
      <c r="E61" s="48"/>
      <c r="F61" s="48"/>
      <c r="G61" s="48"/>
      <c r="H61" s="48"/>
      <c r="I61" s="48"/>
      <c r="J61" s="48"/>
      <c r="K61" s="48"/>
      <c r="L61" s="48"/>
      <c r="M61" s="48"/>
      <c r="N61" s="48"/>
    </row>
    <row r="62" spans="1:15" ht="16.5" customHeight="1" x14ac:dyDescent="0.25">
      <c r="A62" s="2115" t="s">
        <v>8</v>
      </c>
      <c r="B62" s="2115"/>
      <c r="C62" s="2115"/>
      <c r="D62" s="49"/>
      <c r="E62" s="48"/>
      <c r="F62" s="48"/>
      <c r="G62" s="48"/>
      <c r="H62" s="48"/>
      <c r="I62" s="48"/>
      <c r="J62" s="48"/>
      <c r="K62" s="48"/>
      <c r="L62" s="48"/>
      <c r="M62" s="48"/>
      <c r="N62" s="48"/>
    </row>
    <row r="63" spans="1:15" ht="16.5" customHeight="1" x14ac:dyDescent="0.25">
      <c r="A63" s="48"/>
      <c r="B63" s="49"/>
      <c r="C63" s="49"/>
      <c r="D63" s="49"/>
      <c r="E63" s="48"/>
      <c r="F63" s="48"/>
      <c r="G63" s="48"/>
      <c r="H63" s="48"/>
      <c r="I63" s="48"/>
      <c r="J63" s="48"/>
      <c r="K63" s="48"/>
      <c r="L63" s="48"/>
      <c r="M63" s="48"/>
      <c r="N63" s="48"/>
    </row>
    <row r="64" spans="1:15" ht="18.75" customHeight="1" x14ac:dyDescent="0.25">
      <c r="A64" s="48"/>
      <c r="B64" s="145" t="s">
        <v>19</v>
      </c>
      <c r="C64" s="8">
        <f>IF(D54="Yes",1,0)</f>
        <v>0</v>
      </c>
      <c r="D64" s="49"/>
      <c r="E64" s="48"/>
      <c r="F64" s="48"/>
      <c r="G64" s="48"/>
      <c r="H64" s="48"/>
      <c r="I64" s="48"/>
      <c r="J64" s="48"/>
      <c r="K64" s="48"/>
      <c r="L64" s="48"/>
      <c r="M64" s="48"/>
      <c r="N64" s="48"/>
    </row>
    <row r="65" spans="1:14" ht="18.75" customHeight="1" x14ac:dyDescent="0.25">
      <c r="A65" s="48"/>
      <c r="B65" s="146" t="s">
        <v>151</v>
      </c>
      <c r="C65" s="7" t="str">
        <f>IF(AND(COUNTIF(O59:O60,"Yes")=2,C64&gt;0),"Yes","No")</f>
        <v>No</v>
      </c>
      <c r="D65" s="49"/>
      <c r="E65" s="48"/>
      <c r="F65" s="48"/>
      <c r="G65" s="48"/>
      <c r="H65" s="48"/>
      <c r="I65" s="48"/>
      <c r="J65" s="48"/>
      <c r="K65" s="48"/>
      <c r="L65" s="48"/>
      <c r="M65" s="48"/>
      <c r="N65" s="48"/>
    </row>
    <row r="66" spans="1:14" ht="21.75" customHeight="1" x14ac:dyDescent="0.25">
      <c r="A66" s="48"/>
      <c r="B66" s="48"/>
      <c r="C66" s="48"/>
      <c r="D66" s="48"/>
      <c r="E66" s="48"/>
      <c r="F66" s="48"/>
      <c r="G66" s="48"/>
      <c r="H66" s="48"/>
      <c r="I66" s="48"/>
      <c r="J66" s="48"/>
      <c r="K66" s="48"/>
      <c r="L66" s="48"/>
      <c r="M66" s="48"/>
      <c r="N66" s="48"/>
    </row>
    <row r="67" spans="1:14" ht="18.75" customHeight="1" x14ac:dyDescent="0.25">
      <c r="A67" s="2092" t="s">
        <v>168</v>
      </c>
      <c r="B67" s="2092"/>
      <c r="C67" s="2092"/>
      <c r="D67" s="2092"/>
      <c r="E67" s="2092"/>
      <c r="F67" s="2092"/>
      <c r="G67" s="2092"/>
      <c r="H67" s="2092"/>
      <c r="I67" s="2092"/>
      <c r="J67" s="2092"/>
      <c r="K67" s="2092"/>
      <c r="L67" s="2092"/>
      <c r="M67" s="2092"/>
      <c r="N67" s="2092"/>
    </row>
    <row r="68" spans="1:14" x14ac:dyDescent="0.25">
      <c r="A68" s="48"/>
      <c r="B68" s="48"/>
      <c r="C68" s="48"/>
      <c r="D68" s="48"/>
      <c r="E68" s="49"/>
      <c r="F68" s="48"/>
      <c r="G68" s="48"/>
      <c r="H68" s="48"/>
      <c r="I68" s="48"/>
      <c r="J68" s="48"/>
      <c r="K68" s="48"/>
      <c r="L68" s="48"/>
      <c r="M68" s="48"/>
      <c r="N68" s="48"/>
    </row>
    <row r="69" spans="1:14" ht="16.5" customHeight="1" x14ac:dyDescent="0.25">
      <c r="A69" s="2115" t="s">
        <v>117</v>
      </c>
      <c r="B69" s="2115"/>
      <c r="C69" s="2115"/>
      <c r="D69" s="48"/>
      <c r="E69" s="49"/>
      <c r="F69" s="48"/>
      <c r="G69" s="48"/>
      <c r="H69" s="48"/>
      <c r="I69" s="48"/>
      <c r="J69" s="48"/>
      <c r="K69" s="48"/>
      <c r="L69" s="48"/>
      <c r="M69" s="48"/>
      <c r="N69" s="48"/>
    </row>
    <row r="70" spans="1:14" ht="13.5" customHeight="1" x14ac:dyDescent="0.25">
      <c r="A70" s="48"/>
      <c r="B70" s="48"/>
      <c r="C70" s="48"/>
      <c r="D70" s="48"/>
      <c r="E70" s="49"/>
      <c r="F70" s="48"/>
      <c r="G70" s="48"/>
      <c r="H70" s="48"/>
      <c r="I70" s="48"/>
      <c r="J70" s="48"/>
      <c r="K70" s="48"/>
      <c r="L70" s="48"/>
      <c r="M70" s="48"/>
      <c r="N70" s="48"/>
    </row>
    <row r="71" spans="1:14" x14ac:dyDescent="0.25">
      <c r="A71" s="48"/>
      <c r="B71" s="681" t="s">
        <v>1120</v>
      </c>
      <c r="C71" s="49"/>
      <c r="D71" s="49"/>
      <c r="E71" s="49"/>
      <c r="F71" s="48"/>
      <c r="G71" s="48"/>
      <c r="H71" s="48"/>
      <c r="I71" s="48"/>
      <c r="J71" s="48"/>
      <c r="K71" s="48"/>
      <c r="L71" s="48"/>
      <c r="M71" s="48"/>
      <c r="N71" s="48"/>
    </row>
    <row r="72" spans="1:14" ht="18" customHeight="1" x14ac:dyDescent="0.25">
      <c r="A72" s="48"/>
      <c r="B72" s="49"/>
      <c r="C72" s="49"/>
      <c r="D72" s="49"/>
      <c r="E72" s="49"/>
      <c r="F72" s="48"/>
      <c r="G72" s="48"/>
      <c r="H72" s="48"/>
      <c r="I72" s="48"/>
      <c r="J72" s="48"/>
      <c r="K72" s="48"/>
      <c r="L72" s="48"/>
      <c r="M72" s="48"/>
      <c r="N72" s="48"/>
    </row>
    <row r="73" spans="1:14" x14ac:dyDescent="0.25">
      <c r="A73" s="48"/>
      <c r="B73" s="680" t="s">
        <v>1122</v>
      </c>
      <c r="C73" s="49"/>
      <c r="D73" s="49"/>
      <c r="E73" s="49"/>
      <c r="F73" s="48"/>
      <c r="G73" s="48"/>
      <c r="H73" s="48"/>
      <c r="I73" s="48"/>
      <c r="J73" s="48"/>
      <c r="K73" s="48"/>
      <c r="L73" s="48"/>
      <c r="M73" s="48"/>
      <c r="N73" s="48"/>
    </row>
    <row r="74" spans="1:14" ht="18" customHeight="1" x14ac:dyDescent="0.25">
      <c r="A74" s="48"/>
      <c r="B74" s="49"/>
      <c r="C74" s="49"/>
      <c r="D74" s="49"/>
      <c r="E74" s="49"/>
      <c r="F74" s="48"/>
      <c r="G74" s="48"/>
      <c r="H74" s="48"/>
      <c r="I74" s="48"/>
      <c r="J74" s="48"/>
      <c r="K74" s="48"/>
      <c r="L74" s="48"/>
      <c r="M74" s="48"/>
      <c r="N74" s="48"/>
    </row>
    <row r="75" spans="1:14" ht="15" customHeight="1" x14ac:dyDescent="0.25">
      <c r="A75" s="48"/>
      <c r="B75" s="1900" t="s">
        <v>1123</v>
      </c>
      <c r="C75" s="1900"/>
      <c r="D75" s="1900"/>
      <c r="E75" s="1900"/>
      <c r="F75" s="1900"/>
      <c r="G75" s="1900"/>
      <c r="H75" s="48"/>
      <c r="I75" s="48"/>
      <c r="J75" s="48"/>
      <c r="K75" s="48"/>
      <c r="L75" s="48"/>
      <c r="M75" s="48"/>
      <c r="N75" s="48"/>
    </row>
    <row r="76" spans="1:14" ht="12" customHeight="1" x14ac:dyDescent="0.25">
      <c r="A76" s="48"/>
      <c r="B76" s="49"/>
      <c r="C76" s="49"/>
      <c r="D76" s="49"/>
      <c r="E76" s="49"/>
      <c r="F76" s="48"/>
      <c r="G76" s="48"/>
      <c r="H76" s="48"/>
      <c r="I76" s="48"/>
      <c r="J76" s="48"/>
      <c r="K76" s="48"/>
      <c r="L76" s="48"/>
      <c r="M76" s="48"/>
      <c r="N76" s="48"/>
    </row>
    <row r="77" spans="1:14" ht="27" customHeight="1" x14ac:dyDescent="0.25">
      <c r="A77" s="48"/>
      <c r="B77" s="1264" t="s">
        <v>105</v>
      </c>
      <c r="C77" s="1263" t="s">
        <v>108</v>
      </c>
      <c r="D77" s="1263" t="s">
        <v>2494</v>
      </c>
      <c r="E77" s="1263" t="s">
        <v>197</v>
      </c>
      <c r="F77" s="1263" t="s">
        <v>106</v>
      </c>
      <c r="G77" s="1262" t="s">
        <v>89</v>
      </c>
      <c r="H77" s="2110" t="s">
        <v>15</v>
      </c>
      <c r="I77" s="2110"/>
      <c r="J77" s="2114"/>
      <c r="K77" s="48"/>
      <c r="L77" s="48"/>
      <c r="M77" s="48"/>
      <c r="N77" s="48"/>
    </row>
    <row r="78" spans="1:14" x14ac:dyDescent="0.25">
      <c r="A78" s="48"/>
      <c r="B78" s="142"/>
      <c r="C78" s="106"/>
      <c r="D78" s="1259" t="s">
        <v>62</v>
      </c>
      <c r="E78" s="106"/>
      <c r="F78" s="106"/>
      <c r="G78" s="181" t="str">
        <f>IF(OR(D78="",D78="Select"),"",IF(OR(D78="Inherently non-emitting product",D78="Certified product"),"Yes",IF(AND(E78&lt;&gt;"",F78&lt;&gt;""),IF(E78&lt;F78,"Yes","No"),"No")))</f>
        <v/>
      </c>
      <c r="H78" s="1648"/>
      <c r="I78" s="1648"/>
      <c r="J78" s="1648"/>
      <c r="K78" s="48"/>
      <c r="L78" s="48"/>
      <c r="M78" s="48"/>
      <c r="N78" s="48"/>
    </row>
    <row r="79" spans="1:14" x14ac:dyDescent="0.25">
      <c r="A79" s="48"/>
      <c r="B79" s="696"/>
      <c r="C79" s="699"/>
      <c r="D79" s="1259" t="s">
        <v>62</v>
      </c>
      <c r="E79" s="699"/>
      <c r="F79" s="699"/>
      <c r="G79" s="181" t="str">
        <f t="shared" ref="G79:G87" si="2">IF(OR(D79="",D79="Select"),"",IF(OR(D79="Inherently non-emitting product",D79="Certified product"),"Yes",IF(AND(E79&lt;&gt;"",F79&lt;&gt;""),IF(E79&lt;F79,"Yes","No"),"No")))</f>
        <v/>
      </c>
      <c r="H79" s="1648"/>
      <c r="I79" s="1648"/>
      <c r="J79" s="1648"/>
      <c r="K79" s="48"/>
      <c r="L79" s="48"/>
      <c r="M79" s="48"/>
      <c r="N79" s="48"/>
    </row>
    <row r="80" spans="1:14" x14ac:dyDescent="0.25">
      <c r="A80" s="48"/>
      <c r="B80" s="696"/>
      <c r="C80" s="699"/>
      <c r="D80" s="1259" t="s">
        <v>62</v>
      </c>
      <c r="E80" s="699"/>
      <c r="F80" s="699"/>
      <c r="G80" s="181" t="str">
        <f t="shared" si="2"/>
        <v/>
      </c>
      <c r="H80" s="1648"/>
      <c r="I80" s="1648"/>
      <c r="J80" s="1648"/>
      <c r="K80" s="48"/>
      <c r="L80" s="48"/>
      <c r="M80" s="48"/>
      <c r="N80" s="48"/>
    </row>
    <row r="81" spans="1:15" x14ac:dyDescent="0.25">
      <c r="A81" s="48"/>
      <c r="B81" s="696"/>
      <c r="C81" s="699"/>
      <c r="D81" s="1259" t="s">
        <v>62</v>
      </c>
      <c r="E81" s="699"/>
      <c r="F81" s="699"/>
      <c r="G81" s="181" t="str">
        <f t="shared" si="2"/>
        <v/>
      </c>
      <c r="H81" s="1648"/>
      <c r="I81" s="1648"/>
      <c r="J81" s="1648"/>
      <c r="K81" s="48"/>
      <c r="L81" s="48"/>
      <c r="M81" s="48"/>
      <c r="N81" s="48"/>
    </row>
    <row r="82" spans="1:15" x14ac:dyDescent="0.25">
      <c r="A82" s="48"/>
      <c r="B82" s="696"/>
      <c r="C82" s="699"/>
      <c r="D82" s="1259" t="s">
        <v>62</v>
      </c>
      <c r="E82" s="699"/>
      <c r="F82" s="699"/>
      <c r="G82" s="181" t="str">
        <f t="shared" si="2"/>
        <v/>
      </c>
      <c r="H82" s="1648"/>
      <c r="I82" s="1648"/>
      <c r="J82" s="1648"/>
      <c r="K82" s="48"/>
      <c r="L82" s="48"/>
      <c r="M82" s="48"/>
      <c r="N82" s="48"/>
    </row>
    <row r="83" spans="1:15" x14ac:dyDescent="0.25">
      <c r="A83" s="48"/>
      <c r="B83" s="696"/>
      <c r="C83" s="699"/>
      <c r="D83" s="1259" t="s">
        <v>62</v>
      </c>
      <c r="E83" s="699"/>
      <c r="F83" s="699"/>
      <c r="G83" s="181" t="str">
        <f t="shared" si="2"/>
        <v/>
      </c>
      <c r="H83" s="1648"/>
      <c r="I83" s="1648"/>
      <c r="J83" s="1648"/>
      <c r="K83" s="48"/>
      <c r="L83" s="48"/>
      <c r="M83" s="48"/>
      <c r="N83" s="48"/>
    </row>
    <row r="84" spans="1:15" x14ac:dyDescent="0.25">
      <c r="A84" s="48"/>
      <c r="B84" s="696"/>
      <c r="C84" s="699"/>
      <c r="D84" s="1259" t="s">
        <v>62</v>
      </c>
      <c r="E84" s="699"/>
      <c r="F84" s="699"/>
      <c r="G84" s="181" t="str">
        <f t="shared" si="2"/>
        <v/>
      </c>
      <c r="H84" s="1648"/>
      <c r="I84" s="1648"/>
      <c r="J84" s="1648"/>
      <c r="K84" s="48"/>
      <c r="L84" s="48"/>
      <c r="M84" s="48"/>
      <c r="N84" s="48"/>
    </row>
    <row r="85" spans="1:15" x14ac:dyDescent="0.25">
      <c r="A85" s="48"/>
      <c r="B85" s="142"/>
      <c r="C85" s="107"/>
      <c r="D85" s="1259" t="s">
        <v>62</v>
      </c>
      <c r="E85" s="107"/>
      <c r="F85" s="107"/>
      <c r="G85" s="181" t="str">
        <f t="shared" si="2"/>
        <v/>
      </c>
      <c r="H85" s="1648"/>
      <c r="I85" s="1648"/>
      <c r="J85" s="1648"/>
      <c r="K85" s="48"/>
      <c r="L85" s="48"/>
      <c r="M85" s="48"/>
      <c r="N85" s="48"/>
    </row>
    <row r="86" spans="1:15" x14ac:dyDescent="0.25">
      <c r="A86" s="48"/>
      <c r="B86" s="142"/>
      <c r="C86" s="107"/>
      <c r="D86" s="1259" t="s">
        <v>62</v>
      </c>
      <c r="E86" s="107"/>
      <c r="F86" s="107"/>
      <c r="G86" s="181" t="str">
        <f t="shared" si="2"/>
        <v/>
      </c>
      <c r="H86" s="1648"/>
      <c r="I86" s="1648"/>
      <c r="J86" s="1648"/>
      <c r="K86" s="48"/>
      <c r="L86" s="48"/>
      <c r="M86" s="48"/>
      <c r="N86" s="48"/>
    </row>
    <row r="87" spans="1:15" x14ac:dyDescent="0.25">
      <c r="A87" s="48"/>
      <c r="B87" s="142"/>
      <c r="C87" s="107"/>
      <c r="D87" s="1259" t="s">
        <v>62</v>
      </c>
      <c r="E87" s="107"/>
      <c r="F87" s="107"/>
      <c r="G87" s="181" t="str">
        <f t="shared" si="2"/>
        <v/>
      </c>
      <c r="H87" s="1648"/>
      <c r="I87" s="1648"/>
      <c r="J87" s="1648"/>
      <c r="K87" s="48"/>
      <c r="L87" s="48"/>
      <c r="M87" s="48"/>
      <c r="N87" s="48"/>
    </row>
    <row r="88" spans="1:15" ht="16.5" customHeight="1" x14ac:dyDescent="0.25">
      <c r="A88" s="48"/>
      <c r="B88" s="49"/>
      <c r="C88" s="49"/>
      <c r="D88" s="49"/>
      <c r="E88" s="49"/>
      <c r="F88" s="48"/>
      <c r="G88" s="48"/>
      <c r="H88" s="48"/>
      <c r="I88" s="48"/>
      <c r="J88" s="48"/>
      <c r="K88" s="48"/>
      <c r="L88" s="48"/>
      <c r="M88" s="48"/>
      <c r="N88" s="48"/>
    </row>
    <row r="89" spans="1:15" ht="18" customHeight="1" x14ac:dyDescent="0.25">
      <c r="A89" s="48"/>
      <c r="B89" s="2102" t="s">
        <v>109</v>
      </c>
      <c r="C89" s="2102"/>
      <c r="D89" s="70" t="str">
        <f>IF(COUNTBLANK(G78:G87)=10,"",IF(COUNTIF(G78:G87,"No")=0,"Yes","No"))</f>
        <v/>
      </c>
      <c r="E89" s="48"/>
      <c r="F89" s="48"/>
      <c r="G89" s="48"/>
      <c r="H89" s="48"/>
      <c r="I89" s="48"/>
      <c r="J89" s="48"/>
      <c r="K89" s="48"/>
      <c r="L89" s="48"/>
      <c r="M89" s="48"/>
      <c r="N89" s="48"/>
    </row>
    <row r="90" spans="1:15" ht="20.25" customHeight="1" x14ac:dyDescent="0.25">
      <c r="A90" s="48"/>
      <c r="B90" s="49"/>
      <c r="C90" s="49"/>
      <c r="D90" s="49"/>
      <c r="E90" s="48"/>
      <c r="F90" s="48"/>
      <c r="G90" s="48"/>
      <c r="H90" s="48"/>
      <c r="I90" s="48"/>
      <c r="J90" s="48"/>
      <c r="K90" s="48"/>
      <c r="L90" s="48"/>
      <c r="M90" s="48"/>
      <c r="N90" s="48"/>
    </row>
    <row r="91" spans="1:15" ht="16.5" customHeight="1" x14ac:dyDescent="0.25">
      <c r="A91" s="2115" t="s">
        <v>97</v>
      </c>
      <c r="B91" s="2115"/>
      <c r="C91" s="2115"/>
      <c r="D91" s="49"/>
      <c r="E91" s="49"/>
      <c r="F91" s="49"/>
      <c r="G91" s="49"/>
      <c r="H91" s="49"/>
      <c r="I91" s="49"/>
      <c r="J91" s="49"/>
      <c r="K91" s="49"/>
      <c r="L91" s="49"/>
      <c r="M91" s="49"/>
      <c r="N91" s="48"/>
    </row>
    <row r="92" spans="1:15" x14ac:dyDescent="0.25">
      <c r="A92" s="48"/>
      <c r="B92" s="49"/>
      <c r="C92" s="49"/>
      <c r="D92" s="49"/>
      <c r="E92" s="48"/>
      <c r="F92" s="48"/>
      <c r="G92" s="48"/>
      <c r="H92" s="48"/>
      <c r="I92" s="48"/>
      <c r="J92" s="48"/>
      <c r="K92" s="48"/>
      <c r="L92" s="48"/>
      <c r="M92" s="48"/>
      <c r="N92" s="48"/>
    </row>
    <row r="93" spans="1:15" ht="21" customHeight="1" x14ac:dyDescent="0.25">
      <c r="A93" s="48"/>
      <c r="B93" s="2093" t="s">
        <v>98</v>
      </c>
      <c r="C93" s="2094"/>
      <c r="D93" s="2094"/>
      <c r="E93" s="2094"/>
      <c r="F93" s="2094"/>
      <c r="G93" s="968" t="s">
        <v>1297</v>
      </c>
      <c r="H93" s="2095" t="s">
        <v>1298</v>
      </c>
      <c r="I93" s="2095"/>
      <c r="J93" s="48"/>
      <c r="K93" s="48"/>
      <c r="L93" s="48"/>
      <c r="M93" s="48"/>
      <c r="N93" s="48"/>
    </row>
    <row r="94" spans="1:15" ht="30" customHeight="1" x14ac:dyDescent="0.25">
      <c r="A94" s="48"/>
      <c r="B94" s="1644" t="str">
        <f>Submittals!H91</f>
        <v>Select the Submission Stage in Project Information</v>
      </c>
      <c r="C94" s="1645" t="s">
        <v>262</v>
      </c>
      <c r="D94" s="1645"/>
      <c r="E94" s="1645"/>
      <c r="F94" s="1645"/>
      <c r="G94" s="967" t="s">
        <v>62</v>
      </c>
      <c r="H94" s="1625"/>
      <c r="I94" s="1626"/>
      <c r="J94" s="48"/>
      <c r="K94" s="48"/>
      <c r="L94" s="48"/>
      <c r="M94" s="48"/>
      <c r="N94" s="48"/>
      <c r="O94" s="37" t="str">
        <f>IF(OR(B94="/",B94="No evidence required at this submission stage"),"Yes",IF(G94="Submitted","Yes","No"))</f>
        <v>No</v>
      </c>
    </row>
    <row r="95" spans="1:15" ht="30" customHeight="1" x14ac:dyDescent="0.25">
      <c r="A95" s="48"/>
      <c r="B95" s="1644" t="str">
        <f>Submittals!H92</f>
        <v>Select the Submission Stage in Project Information</v>
      </c>
      <c r="C95" s="1645" t="s">
        <v>262</v>
      </c>
      <c r="D95" s="1645"/>
      <c r="E95" s="1645"/>
      <c r="F95" s="1645"/>
      <c r="G95" s="967" t="s">
        <v>62</v>
      </c>
      <c r="H95" s="1625"/>
      <c r="I95" s="1626"/>
      <c r="J95" s="48"/>
      <c r="K95" s="48"/>
      <c r="L95" s="48"/>
      <c r="M95" s="48"/>
      <c r="N95" s="48"/>
      <c r="O95" s="37" t="str">
        <f>IF(OR(B95="/",B95="No evidence required at this submission stage"),"Yes",IF(G95="Submitted","Yes","No"))</f>
        <v>No</v>
      </c>
    </row>
    <row r="96" spans="1:15" ht="20.25" customHeight="1" x14ac:dyDescent="0.25">
      <c r="A96" s="48"/>
      <c r="B96" s="49"/>
      <c r="C96" s="49"/>
      <c r="D96" s="49"/>
      <c r="E96" s="48"/>
      <c r="F96" s="48"/>
      <c r="G96" s="48"/>
      <c r="H96" s="48"/>
      <c r="I96" s="48"/>
      <c r="J96" s="48"/>
      <c r="K96" s="48"/>
      <c r="L96" s="48"/>
      <c r="M96" s="48"/>
      <c r="N96" s="48"/>
    </row>
    <row r="97" spans="1:14" ht="16.5" customHeight="1" x14ac:dyDescent="0.25">
      <c r="A97" s="2115" t="s">
        <v>8</v>
      </c>
      <c r="B97" s="2115"/>
      <c r="C97" s="2115"/>
      <c r="D97" s="49"/>
      <c r="E97" s="48"/>
      <c r="F97" s="48"/>
      <c r="G97" s="48"/>
      <c r="H97" s="48"/>
      <c r="I97" s="48"/>
      <c r="J97" s="48"/>
      <c r="K97" s="48"/>
      <c r="L97" s="48"/>
      <c r="M97" s="48"/>
      <c r="N97" s="48"/>
    </row>
    <row r="98" spans="1:14" ht="16.5" customHeight="1" x14ac:dyDescent="0.25">
      <c r="A98" s="48"/>
      <c r="B98" s="49"/>
      <c r="C98" s="49"/>
      <c r="D98" s="49"/>
      <c r="E98" s="48"/>
      <c r="F98" s="48"/>
      <c r="G98" s="48"/>
      <c r="H98" s="48"/>
      <c r="I98" s="48"/>
      <c r="J98" s="48"/>
      <c r="K98" s="48"/>
      <c r="L98" s="48"/>
      <c r="M98" s="48"/>
      <c r="N98" s="48"/>
    </row>
    <row r="99" spans="1:14" ht="18" customHeight="1" x14ac:dyDescent="0.25">
      <c r="A99" s="48"/>
      <c r="B99" s="145" t="s">
        <v>19</v>
      </c>
      <c r="C99" s="8">
        <f>IF(D89="Yes",1,0)</f>
        <v>0</v>
      </c>
      <c r="D99" s="49"/>
      <c r="E99" s="48"/>
      <c r="F99" s="48"/>
      <c r="G99" s="48"/>
      <c r="H99" s="48"/>
      <c r="I99" s="48"/>
      <c r="J99" s="48"/>
      <c r="K99" s="48"/>
      <c r="L99" s="48"/>
      <c r="M99" s="48"/>
      <c r="N99" s="48"/>
    </row>
    <row r="100" spans="1:14" ht="18" customHeight="1" x14ac:dyDescent="0.25">
      <c r="A100" s="48"/>
      <c r="B100" s="146" t="s">
        <v>151</v>
      </c>
      <c r="C100" s="7" t="str">
        <f>IF(AND(COUNTIF(O94:O95,"Yes")=2,C99&gt;0),"Yes","No")</f>
        <v>No</v>
      </c>
      <c r="D100" s="49"/>
      <c r="E100" s="48"/>
      <c r="F100" s="48"/>
      <c r="G100" s="48"/>
      <c r="H100" s="48"/>
      <c r="I100" s="48"/>
      <c r="J100" s="48"/>
      <c r="K100" s="48"/>
      <c r="L100" s="48"/>
      <c r="M100" s="48"/>
      <c r="N100" s="48"/>
    </row>
    <row r="101" spans="1:14" ht="21.75" customHeight="1" x14ac:dyDescent="0.25">
      <c r="A101" s="48"/>
      <c r="B101" s="49"/>
      <c r="C101" s="49"/>
      <c r="D101" s="49"/>
      <c r="E101" s="48"/>
      <c r="F101" s="48"/>
      <c r="G101" s="48"/>
      <c r="H101" s="48"/>
      <c r="I101" s="48"/>
      <c r="J101" s="48"/>
      <c r="K101" s="48"/>
      <c r="L101" s="48"/>
      <c r="M101" s="48"/>
      <c r="N101" s="48"/>
    </row>
    <row r="102" spans="1:14" ht="18.75" customHeight="1" x14ac:dyDescent="0.25">
      <c r="A102" s="2092" t="s">
        <v>2483</v>
      </c>
      <c r="B102" s="2092"/>
      <c r="C102" s="2092"/>
      <c r="D102" s="2092"/>
      <c r="E102" s="2092"/>
      <c r="F102" s="2092"/>
      <c r="G102" s="2092"/>
      <c r="H102" s="2092"/>
      <c r="I102" s="2092"/>
      <c r="J102" s="2092"/>
      <c r="K102" s="2092"/>
      <c r="L102" s="2092"/>
      <c r="M102" s="2092"/>
      <c r="N102" s="2092"/>
    </row>
    <row r="103" spans="1:14" x14ac:dyDescent="0.25">
      <c r="A103" s="48"/>
      <c r="B103" s="48"/>
      <c r="C103" s="48"/>
      <c r="D103" s="48"/>
      <c r="E103" s="49"/>
      <c r="F103" s="48"/>
      <c r="G103" s="48"/>
      <c r="H103" s="48"/>
      <c r="I103" s="48"/>
      <c r="J103" s="48"/>
      <c r="K103" s="48"/>
      <c r="L103" s="48"/>
      <c r="M103" s="48"/>
      <c r="N103" s="48"/>
    </row>
    <row r="104" spans="1:14" ht="16.5" customHeight="1" x14ac:dyDescent="0.25">
      <c r="A104" s="2115" t="s">
        <v>117</v>
      </c>
      <c r="B104" s="2115"/>
      <c r="C104" s="2115"/>
      <c r="D104" s="48"/>
      <c r="E104" s="49"/>
      <c r="F104" s="48"/>
      <c r="G104" s="48"/>
      <c r="H104" s="48"/>
      <c r="I104" s="48"/>
      <c r="J104" s="48"/>
      <c r="K104" s="48"/>
      <c r="L104" s="48"/>
      <c r="M104" s="48"/>
      <c r="N104" s="48"/>
    </row>
    <row r="105" spans="1:14" ht="14.25" customHeight="1" x14ac:dyDescent="0.25">
      <c r="A105" s="48"/>
      <c r="B105" s="48"/>
      <c r="C105" s="48"/>
      <c r="D105" s="48"/>
      <c r="E105" s="49"/>
      <c r="F105" s="48"/>
      <c r="G105" s="48"/>
      <c r="H105" s="48"/>
      <c r="I105" s="48"/>
      <c r="J105" s="48"/>
      <c r="K105" s="48"/>
      <c r="L105" s="48"/>
      <c r="M105" s="48"/>
      <c r="N105" s="48"/>
    </row>
    <row r="106" spans="1:14" x14ac:dyDescent="0.25">
      <c r="A106" s="48"/>
      <c r="B106" s="681" t="s">
        <v>2484</v>
      </c>
      <c r="C106" s="49"/>
      <c r="D106" s="49"/>
      <c r="E106" s="49"/>
      <c r="F106" s="48"/>
      <c r="G106" s="48"/>
      <c r="H106" s="48"/>
      <c r="I106" s="48"/>
      <c r="J106" s="48"/>
      <c r="K106" s="48"/>
      <c r="L106" s="48"/>
      <c r="M106" s="48"/>
      <c r="N106" s="48"/>
    </row>
    <row r="107" spans="1:14" ht="18" customHeight="1" x14ac:dyDescent="0.25">
      <c r="A107" s="48"/>
      <c r="B107" s="49"/>
      <c r="C107" s="49"/>
      <c r="D107" s="49"/>
      <c r="E107" s="49"/>
      <c r="F107" s="48"/>
      <c r="G107" s="48"/>
      <c r="H107" s="48"/>
      <c r="I107" s="48"/>
      <c r="J107" s="48"/>
      <c r="K107" s="48"/>
      <c r="L107" s="48"/>
      <c r="M107" s="48"/>
      <c r="N107" s="48"/>
    </row>
    <row r="108" spans="1:14" x14ac:dyDescent="0.25">
      <c r="A108" s="48"/>
      <c r="B108" s="680" t="s">
        <v>2485</v>
      </c>
      <c r="C108" s="49"/>
      <c r="D108" s="49"/>
      <c r="E108" s="49"/>
      <c r="F108" s="48"/>
      <c r="G108" s="48"/>
      <c r="H108" s="48"/>
      <c r="I108" s="48"/>
      <c r="J108" s="48"/>
      <c r="K108" s="48"/>
      <c r="L108" s="48"/>
      <c r="M108" s="48"/>
      <c r="N108" s="48"/>
    </row>
    <row r="109" spans="1:14" x14ac:dyDescent="0.25">
      <c r="A109" s="48"/>
      <c r="B109" s="680" t="s">
        <v>2486</v>
      </c>
      <c r="C109" s="49"/>
      <c r="D109" s="49"/>
      <c r="E109" s="49"/>
      <c r="F109" s="48"/>
      <c r="G109" s="48"/>
      <c r="H109" s="48"/>
      <c r="I109" s="48"/>
      <c r="J109" s="48"/>
      <c r="K109" s="48"/>
      <c r="L109" s="48"/>
      <c r="M109" s="48"/>
      <c r="N109" s="48"/>
    </row>
    <row r="110" spans="1:14" ht="18" customHeight="1" x14ac:dyDescent="0.25">
      <c r="A110" s="48"/>
      <c r="B110" s="49"/>
      <c r="C110" s="49"/>
      <c r="D110" s="49"/>
      <c r="E110" s="49"/>
      <c r="F110" s="48"/>
      <c r="G110" s="48"/>
      <c r="H110" s="48"/>
      <c r="I110" s="48"/>
      <c r="J110" s="48"/>
      <c r="K110" s="48"/>
      <c r="L110" s="48"/>
      <c r="M110" s="48"/>
      <c r="N110" s="48"/>
    </row>
    <row r="111" spans="1:14" ht="15" customHeight="1" x14ac:dyDescent="0.25">
      <c r="A111" s="48"/>
      <c r="B111" s="1900" t="s">
        <v>2018</v>
      </c>
      <c r="C111" s="1900"/>
      <c r="D111" s="1900"/>
      <c r="E111" s="1900"/>
      <c r="F111" s="1900"/>
      <c r="G111" s="1900"/>
      <c r="H111" s="48"/>
      <c r="I111" s="48"/>
      <c r="J111" s="48"/>
      <c r="K111" s="48"/>
      <c r="L111" s="48"/>
      <c r="M111" s="48"/>
      <c r="N111" s="48"/>
    </row>
    <row r="112" spans="1:14" ht="12" customHeight="1" x14ac:dyDescent="0.25">
      <c r="A112" s="48"/>
      <c r="B112" s="49"/>
      <c r="C112" s="49"/>
      <c r="D112" s="49"/>
      <c r="E112" s="48"/>
      <c r="F112" s="48"/>
      <c r="G112" s="48"/>
      <c r="H112" s="48"/>
      <c r="I112" s="48"/>
      <c r="J112" s="48"/>
      <c r="K112" s="48"/>
      <c r="L112" s="48"/>
      <c r="M112" s="48"/>
      <c r="N112" s="48"/>
    </row>
    <row r="113" spans="1:15" ht="27" customHeight="1" x14ac:dyDescent="0.25">
      <c r="A113" s="48"/>
      <c r="B113" s="1297" t="s">
        <v>105</v>
      </c>
      <c r="C113" s="1296" t="s">
        <v>2700</v>
      </c>
      <c r="D113" s="1296" t="s">
        <v>2494</v>
      </c>
      <c r="E113" s="1296" t="s">
        <v>197</v>
      </c>
      <c r="F113" s="1296" t="s">
        <v>106</v>
      </c>
      <c r="G113" s="1295" t="s">
        <v>89</v>
      </c>
      <c r="H113" s="2110" t="s">
        <v>15</v>
      </c>
      <c r="I113" s="2110"/>
      <c r="J113" s="2114"/>
      <c r="K113" s="48"/>
      <c r="L113" s="48"/>
      <c r="M113" s="48"/>
      <c r="N113" s="48"/>
      <c r="O113" s="48"/>
    </row>
    <row r="114" spans="1:15" x14ac:dyDescent="0.25">
      <c r="A114" s="48"/>
      <c r="B114" s="1293"/>
      <c r="C114" s="1294"/>
      <c r="D114" s="1293" t="s">
        <v>62</v>
      </c>
      <c r="E114" s="1294"/>
      <c r="F114" s="1294"/>
      <c r="G114" s="181" t="str">
        <f>IF(OR(D114="",D114="Select"),"",IF(OR(D114="Inherently non-emitting product",D114="Certified product"),"Yes",IF(AND(E114&lt;&gt;"",F114&lt;&gt;""),IF(E114&lt;F114,"Yes","No"),"No")))</f>
        <v/>
      </c>
      <c r="H114" s="1648"/>
      <c r="I114" s="1648"/>
      <c r="J114" s="1648"/>
      <c r="K114" s="48"/>
      <c r="L114" s="48"/>
      <c r="M114" s="48"/>
      <c r="N114" s="48"/>
      <c r="O114" s="48"/>
    </row>
    <row r="115" spans="1:15" x14ac:dyDescent="0.25">
      <c r="A115" s="48"/>
      <c r="B115" s="1293"/>
      <c r="C115" s="1294"/>
      <c r="D115" s="1293" t="s">
        <v>62</v>
      </c>
      <c r="E115" s="1294"/>
      <c r="F115" s="1294"/>
      <c r="G115" s="181" t="str">
        <f t="shared" ref="G115:G123" si="3">IF(OR(D115="",D115="Select"),"",IF(OR(D115="Inherently non-emitting product",D115="Certified product"),"Yes",IF(AND(E115&lt;&gt;"",F115&lt;&gt;""),IF(E115&lt;F115,"Yes","No"),"No")))</f>
        <v/>
      </c>
      <c r="H115" s="1648"/>
      <c r="I115" s="1648"/>
      <c r="J115" s="1648"/>
      <c r="K115" s="48"/>
      <c r="L115" s="48"/>
      <c r="M115" s="48"/>
      <c r="N115" s="48"/>
      <c r="O115" s="48"/>
    </row>
    <row r="116" spans="1:15" x14ac:dyDescent="0.25">
      <c r="A116" s="48"/>
      <c r="B116" s="1293"/>
      <c r="C116" s="1294"/>
      <c r="D116" s="1293" t="s">
        <v>62</v>
      </c>
      <c r="E116" s="1294"/>
      <c r="F116" s="1294"/>
      <c r="G116" s="181" t="str">
        <f t="shared" si="3"/>
        <v/>
      </c>
      <c r="H116" s="1648"/>
      <c r="I116" s="1648"/>
      <c r="J116" s="1648"/>
      <c r="K116" s="48"/>
      <c r="L116" s="48"/>
      <c r="M116" s="48"/>
      <c r="N116" s="48"/>
      <c r="O116" s="48"/>
    </row>
    <row r="117" spans="1:15" x14ac:dyDescent="0.25">
      <c r="A117" s="48"/>
      <c r="B117" s="1293"/>
      <c r="C117" s="1294"/>
      <c r="D117" s="1293" t="s">
        <v>62</v>
      </c>
      <c r="E117" s="1294"/>
      <c r="F117" s="1294"/>
      <c r="G117" s="181" t="str">
        <f t="shared" si="3"/>
        <v/>
      </c>
      <c r="H117" s="1648"/>
      <c r="I117" s="1648"/>
      <c r="J117" s="1648"/>
      <c r="K117" s="48"/>
      <c r="L117" s="48"/>
      <c r="M117" s="48"/>
      <c r="N117" s="48"/>
      <c r="O117" s="48"/>
    </row>
    <row r="118" spans="1:15" x14ac:dyDescent="0.25">
      <c r="A118" s="48"/>
      <c r="B118" s="1293"/>
      <c r="C118" s="1294"/>
      <c r="D118" s="1293" t="s">
        <v>62</v>
      </c>
      <c r="E118" s="1294"/>
      <c r="F118" s="1294"/>
      <c r="G118" s="181" t="str">
        <f t="shared" si="3"/>
        <v/>
      </c>
      <c r="H118" s="1648"/>
      <c r="I118" s="1648"/>
      <c r="J118" s="1648"/>
      <c r="K118" s="48"/>
      <c r="L118" s="48"/>
      <c r="M118" s="48"/>
      <c r="N118" s="48"/>
      <c r="O118" s="48"/>
    </row>
    <row r="119" spans="1:15" x14ac:dyDescent="0.25">
      <c r="A119" s="48"/>
      <c r="B119" s="1293"/>
      <c r="C119" s="1294"/>
      <c r="D119" s="1293" t="s">
        <v>62</v>
      </c>
      <c r="E119" s="1294"/>
      <c r="F119" s="1294"/>
      <c r="G119" s="181" t="str">
        <f t="shared" si="3"/>
        <v/>
      </c>
      <c r="H119" s="1648"/>
      <c r="I119" s="1648"/>
      <c r="J119" s="1648"/>
      <c r="K119" s="48"/>
      <c r="L119" s="48"/>
      <c r="M119" s="48"/>
      <c r="N119" s="48"/>
      <c r="O119" s="48"/>
    </row>
    <row r="120" spans="1:15" x14ac:dyDescent="0.25">
      <c r="A120" s="48"/>
      <c r="B120" s="1293"/>
      <c r="C120" s="1294"/>
      <c r="D120" s="1293" t="s">
        <v>62</v>
      </c>
      <c r="E120" s="1294"/>
      <c r="F120" s="1294"/>
      <c r="G120" s="181" t="str">
        <f t="shared" si="3"/>
        <v/>
      </c>
      <c r="H120" s="1648"/>
      <c r="I120" s="1648"/>
      <c r="J120" s="1648"/>
      <c r="K120" s="48"/>
      <c r="L120" s="48"/>
      <c r="M120" s="48"/>
      <c r="N120" s="48"/>
      <c r="O120" s="48"/>
    </row>
    <row r="121" spans="1:15" x14ac:dyDescent="0.25">
      <c r="A121" s="48"/>
      <c r="B121" s="1293"/>
      <c r="C121" s="107"/>
      <c r="D121" s="1293" t="s">
        <v>62</v>
      </c>
      <c r="E121" s="107"/>
      <c r="F121" s="107"/>
      <c r="G121" s="181" t="str">
        <f t="shared" si="3"/>
        <v/>
      </c>
      <c r="H121" s="1648"/>
      <c r="I121" s="1648"/>
      <c r="J121" s="1648"/>
      <c r="K121" s="48"/>
      <c r="L121" s="48"/>
      <c r="M121" s="48"/>
      <c r="N121" s="48"/>
      <c r="O121" s="48"/>
    </row>
    <row r="122" spans="1:15" x14ac:dyDescent="0.25">
      <c r="A122" s="48"/>
      <c r="B122" s="1293"/>
      <c r="C122" s="107"/>
      <c r="D122" s="1293" t="s">
        <v>62</v>
      </c>
      <c r="E122" s="107"/>
      <c r="F122" s="107"/>
      <c r="G122" s="181" t="str">
        <f t="shared" si="3"/>
        <v/>
      </c>
      <c r="H122" s="1648"/>
      <c r="I122" s="1648"/>
      <c r="J122" s="1648"/>
      <c r="K122" s="48"/>
      <c r="L122" s="48"/>
      <c r="M122" s="48"/>
      <c r="N122" s="48"/>
      <c r="O122" s="48"/>
    </row>
    <row r="123" spans="1:15" x14ac:dyDescent="0.25">
      <c r="A123" s="48"/>
      <c r="B123" s="1293"/>
      <c r="C123" s="107"/>
      <c r="D123" s="1293" t="s">
        <v>62</v>
      </c>
      <c r="E123" s="107"/>
      <c r="F123" s="107"/>
      <c r="G123" s="181" t="str">
        <f t="shared" si="3"/>
        <v/>
      </c>
      <c r="H123" s="1648"/>
      <c r="I123" s="1648"/>
      <c r="J123" s="1648"/>
      <c r="K123" s="48"/>
      <c r="L123" s="48"/>
      <c r="M123" s="48"/>
      <c r="N123" s="48"/>
      <c r="O123" s="48"/>
    </row>
    <row r="124" spans="1:15" ht="16.5" customHeight="1" x14ac:dyDescent="0.25">
      <c r="A124" s="48"/>
      <c r="B124" s="49"/>
      <c r="C124" s="49"/>
      <c r="D124" s="49"/>
      <c r="E124" s="49"/>
      <c r="F124" s="48"/>
      <c r="G124" s="48"/>
      <c r="H124" s="48"/>
      <c r="I124" s="48"/>
      <c r="J124" s="48"/>
      <c r="K124" s="48"/>
      <c r="L124" s="48"/>
      <c r="M124" s="48"/>
      <c r="N124" s="48"/>
    </row>
    <row r="125" spans="1:15" ht="18" customHeight="1" x14ac:dyDescent="0.25">
      <c r="A125" s="48"/>
      <c r="B125" s="2102" t="s">
        <v>2495</v>
      </c>
      <c r="C125" s="2102"/>
      <c r="D125" s="70" t="str">
        <f>IF(COUNTBLANK(G114:G123)=10,"",IF(COUNTIF(G114:G123,"No")=0,"Yes","No"))</f>
        <v/>
      </c>
      <c r="E125" s="48"/>
      <c r="F125" s="48"/>
      <c r="G125" s="48"/>
      <c r="H125" s="48"/>
      <c r="I125" s="48"/>
      <c r="J125" s="48"/>
      <c r="K125" s="48"/>
      <c r="L125" s="48"/>
      <c r="M125" s="48"/>
      <c r="N125" s="48"/>
    </row>
    <row r="126" spans="1:15" ht="18.75" customHeight="1" x14ac:dyDescent="0.25">
      <c r="A126" s="48"/>
      <c r="B126" s="49"/>
      <c r="C126" s="49"/>
      <c r="D126" s="49"/>
      <c r="E126" s="48"/>
      <c r="F126" s="48"/>
      <c r="G126" s="48"/>
      <c r="H126" s="48"/>
      <c r="I126" s="48"/>
      <c r="J126" s="48"/>
      <c r="K126" s="48"/>
      <c r="L126" s="48"/>
      <c r="M126" s="48"/>
      <c r="N126" s="48"/>
    </row>
    <row r="127" spans="1:15" ht="16.5" customHeight="1" x14ac:dyDescent="0.25">
      <c r="A127" s="2115" t="s">
        <v>97</v>
      </c>
      <c r="B127" s="2115"/>
      <c r="C127" s="2115"/>
      <c r="D127" s="49"/>
      <c r="E127" s="49"/>
      <c r="F127" s="49"/>
      <c r="G127" s="49"/>
      <c r="H127" s="49"/>
      <c r="I127" s="49"/>
      <c r="J127" s="49"/>
      <c r="K127" s="49"/>
      <c r="L127" s="49"/>
      <c r="M127" s="49"/>
      <c r="N127" s="48"/>
    </row>
    <row r="128" spans="1:15" x14ac:dyDescent="0.25">
      <c r="A128" s="48"/>
      <c r="B128" s="49"/>
      <c r="C128" s="49"/>
      <c r="D128" s="49"/>
      <c r="E128" s="48"/>
      <c r="F128" s="48"/>
      <c r="G128" s="48"/>
      <c r="H128" s="48"/>
      <c r="I128" s="48"/>
      <c r="J128" s="48"/>
      <c r="K128" s="48"/>
      <c r="L128" s="48"/>
      <c r="M128" s="48"/>
      <c r="N128" s="48"/>
    </row>
    <row r="129" spans="1:15" ht="21" customHeight="1" x14ac:dyDescent="0.25">
      <c r="A129" s="48"/>
      <c r="B129" s="2093" t="s">
        <v>98</v>
      </c>
      <c r="C129" s="2094"/>
      <c r="D129" s="2094"/>
      <c r="E129" s="2094"/>
      <c r="F129" s="2094"/>
      <c r="G129" s="968" t="s">
        <v>1297</v>
      </c>
      <c r="H129" s="2095" t="s">
        <v>1298</v>
      </c>
      <c r="I129" s="2095"/>
      <c r="J129" s="48"/>
      <c r="K129" s="48"/>
      <c r="L129" s="48"/>
      <c r="M129" s="48"/>
      <c r="N129" s="48"/>
    </row>
    <row r="130" spans="1:15" ht="30" customHeight="1" x14ac:dyDescent="0.25">
      <c r="A130" s="48"/>
      <c r="B130" s="1644" t="str">
        <f>Submittals!H93</f>
        <v>Select the Submission Stage in Project Information</v>
      </c>
      <c r="C130" s="1645" t="s">
        <v>262</v>
      </c>
      <c r="D130" s="1645"/>
      <c r="E130" s="1645"/>
      <c r="F130" s="1645"/>
      <c r="G130" s="967" t="s">
        <v>62</v>
      </c>
      <c r="H130" s="1625"/>
      <c r="I130" s="1626"/>
      <c r="J130" s="48"/>
      <c r="K130" s="48"/>
      <c r="L130" s="48"/>
      <c r="M130" s="48"/>
      <c r="N130" s="48"/>
      <c r="O130" s="37" t="str">
        <f>IF(OR(B130="/",B130="No evidence required at this submission stage"),"Yes",IF(G130="Submitted","Yes","No"))</f>
        <v>No</v>
      </c>
    </row>
    <row r="131" spans="1:15" ht="30" customHeight="1" x14ac:dyDescent="0.25">
      <c r="A131" s="48"/>
      <c r="B131" s="1644" t="str">
        <f>Submittals!H94</f>
        <v>Select the Submission Stage in Project Information</v>
      </c>
      <c r="C131" s="1645" t="s">
        <v>262</v>
      </c>
      <c r="D131" s="1645"/>
      <c r="E131" s="1645"/>
      <c r="F131" s="1645"/>
      <c r="G131" s="967" t="s">
        <v>62</v>
      </c>
      <c r="H131" s="1625"/>
      <c r="I131" s="1626"/>
      <c r="J131" s="48"/>
      <c r="K131" s="48"/>
      <c r="L131" s="48"/>
      <c r="M131" s="48"/>
      <c r="N131" s="48"/>
      <c r="O131" s="37" t="str">
        <f>IF(OR(B131="/",B131="No evidence required at this submission stage"),"Yes",IF(G131="Submitted","Yes","No"))</f>
        <v>No</v>
      </c>
    </row>
    <row r="132" spans="1:15" ht="19.5" customHeight="1" x14ac:dyDescent="0.25">
      <c r="A132" s="48"/>
      <c r="B132" s="49"/>
      <c r="C132" s="49"/>
      <c r="D132" s="49"/>
      <c r="E132" s="48"/>
      <c r="F132" s="48"/>
      <c r="G132" s="48"/>
      <c r="H132" s="48"/>
      <c r="I132" s="48"/>
      <c r="J132" s="48"/>
      <c r="K132" s="48"/>
      <c r="L132" s="48"/>
      <c r="M132" s="48"/>
      <c r="N132" s="48"/>
    </row>
    <row r="133" spans="1:15" ht="16.5" customHeight="1" x14ac:dyDescent="0.25">
      <c r="A133" s="2115" t="s">
        <v>8</v>
      </c>
      <c r="B133" s="2115"/>
      <c r="C133" s="2115"/>
      <c r="D133" s="49"/>
      <c r="E133" s="48"/>
      <c r="F133" s="48"/>
      <c r="G133" s="48"/>
      <c r="H133" s="48"/>
      <c r="I133" s="48"/>
      <c r="J133" s="48"/>
      <c r="K133" s="48"/>
      <c r="L133" s="48"/>
      <c r="M133" s="48"/>
      <c r="N133" s="48"/>
    </row>
    <row r="134" spans="1:15" ht="16.5" customHeight="1" x14ac:dyDescent="0.25">
      <c r="A134" s="48"/>
      <c r="B134" s="49"/>
      <c r="C134" s="49"/>
      <c r="D134" s="49"/>
      <c r="E134" s="48"/>
      <c r="F134" s="48"/>
      <c r="G134" s="48"/>
      <c r="H134" s="48"/>
      <c r="I134" s="48"/>
      <c r="J134" s="48"/>
      <c r="K134" s="48"/>
      <c r="L134" s="48"/>
      <c r="M134" s="48"/>
      <c r="N134" s="48"/>
    </row>
    <row r="135" spans="1:15" ht="18" customHeight="1" x14ac:dyDescent="0.25">
      <c r="A135" s="48"/>
      <c r="B135" s="145" t="s">
        <v>19</v>
      </c>
      <c r="C135" s="8">
        <f>IF(D125="Yes",1,0)</f>
        <v>0</v>
      </c>
      <c r="D135" s="49"/>
      <c r="E135" s="48"/>
      <c r="F135" s="48"/>
      <c r="G135" s="48"/>
      <c r="H135" s="48"/>
      <c r="I135" s="48"/>
      <c r="J135" s="48"/>
      <c r="K135" s="48"/>
      <c r="L135" s="48"/>
      <c r="M135" s="48"/>
      <c r="N135" s="48"/>
    </row>
    <row r="136" spans="1:15" ht="18" customHeight="1" x14ac:dyDescent="0.25">
      <c r="A136" s="48"/>
      <c r="B136" s="146" t="s">
        <v>151</v>
      </c>
      <c r="C136" s="7" t="str">
        <f>IF(AND(COUNTIF(O130:O131,"Yes")=2,C135&gt;0),"Yes","No")</f>
        <v>No</v>
      </c>
      <c r="D136" s="49"/>
      <c r="E136" s="48"/>
      <c r="F136" s="48"/>
      <c r="G136" s="48"/>
      <c r="H136" s="48"/>
      <c r="I136" s="48"/>
      <c r="J136" s="48"/>
      <c r="K136" s="48"/>
      <c r="L136" s="48"/>
      <c r="M136" s="48"/>
      <c r="N136" s="48"/>
    </row>
    <row r="137" spans="1:15" ht="21" customHeight="1" x14ac:dyDescent="0.25">
      <c r="A137" s="48"/>
      <c r="B137" s="49"/>
      <c r="C137" s="49"/>
      <c r="D137" s="49"/>
      <c r="E137" s="48"/>
      <c r="F137" s="48"/>
      <c r="G137" s="48"/>
      <c r="H137" s="48"/>
      <c r="I137" s="48"/>
      <c r="J137" s="48"/>
      <c r="K137" s="48"/>
      <c r="L137" s="48"/>
      <c r="M137" s="48"/>
      <c r="N137" s="48"/>
    </row>
    <row r="138" spans="1:15" ht="18" customHeight="1" x14ac:dyDescent="0.25">
      <c r="A138" s="2092" t="s">
        <v>578</v>
      </c>
      <c r="B138" s="2092"/>
      <c r="C138" s="2092"/>
      <c r="D138" s="2092"/>
      <c r="E138" s="2092"/>
      <c r="F138" s="2092"/>
      <c r="G138" s="2092"/>
      <c r="H138" s="2092"/>
      <c r="I138" s="2092"/>
      <c r="J138" s="2092"/>
      <c r="K138" s="2092"/>
      <c r="L138" s="2092"/>
      <c r="M138" s="2092"/>
      <c r="N138" s="2092"/>
    </row>
    <row r="139" spans="1:15" x14ac:dyDescent="0.25">
      <c r="A139" s="48"/>
      <c r="B139" s="48"/>
      <c r="C139" s="48"/>
      <c r="D139" s="48"/>
      <c r="E139" s="49"/>
      <c r="F139" s="48"/>
      <c r="G139" s="48"/>
      <c r="H139" s="48"/>
      <c r="I139" s="48"/>
      <c r="J139" s="48"/>
      <c r="K139" s="48"/>
      <c r="L139" s="48"/>
      <c r="M139" s="48"/>
      <c r="N139" s="48"/>
    </row>
    <row r="140" spans="1:15" ht="16.5" customHeight="1" x14ac:dyDescent="0.25">
      <c r="A140" s="2115" t="s">
        <v>117</v>
      </c>
      <c r="B140" s="2115"/>
      <c r="C140" s="2115"/>
      <c r="D140" s="48"/>
      <c r="E140" s="49"/>
      <c r="F140" s="48"/>
      <c r="G140" s="48"/>
      <c r="H140" s="48"/>
      <c r="I140" s="48"/>
      <c r="J140" s="48"/>
      <c r="K140" s="48"/>
      <c r="L140" s="48"/>
      <c r="M140" s="48"/>
      <c r="N140" s="48"/>
    </row>
    <row r="141" spans="1:15" x14ac:dyDescent="0.25">
      <c r="A141" s="48"/>
      <c r="B141" s="49"/>
      <c r="C141" s="49"/>
      <c r="D141" s="49"/>
      <c r="E141" s="48"/>
      <c r="F141" s="48"/>
      <c r="G141" s="48"/>
      <c r="H141" s="48"/>
      <c r="I141" s="48"/>
      <c r="J141" s="48"/>
      <c r="K141" s="48"/>
      <c r="L141" s="48"/>
      <c r="M141" s="48"/>
      <c r="N141" s="48"/>
    </row>
    <row r="142" spans="1:15" ht="16.5" customHeight="1" x14ac:dyDescent="0.25">
      <c r="A142" s="48"/>
      <c r="B142" s="681" t="s">
        <v>1058</v>
      </c>
      <c r="C142" s="49"/>
      <c r="D142" s="49"/>
      <c r="E142" s="48"/>
      <c r="F142" s="48"/>
      <c r="G142" s="48"/>
      <c r="H142" s="48"/>
      <c r="I142" s="48"/>
      <c r="J142" s="48"/>
      <c r="K142" s="48"/>
      <c r="L142" s="48"/>
      <c r="M142" s="48"/>
      <c r="N142" s="48"/>
    </row>
    <row r="143" spans="1:15" ht="16.5" customHeight="1" x14ac:dyDescent="0.25">
      <c r="A143" s="48"/>
      <c r="B143" s="681"/>
      <c r="C143" s="49"/>
      <c r="D143" s="49"/>
      <c r="E143" s="48"/>
      <c r="F143" s="48"/>
      <c r="G143" s="48"/>
      <c r="H143" s="48"/>
      <c r="I143" s="48"/>
      <c r="J143" s="48"/>
      <c r="K143" s="48"/>
      <c r="L143" s="48"/>
      <c r="M143" s="48"/>
      <c r="N143" s="48"/>
    </row>
    <row r="144" spans="1:15" ht="16.5" customHeight="1" x14ac:dyDescent="0.25">
      <c r="A144" s="48"/>
      <c r="B144" s="680" t="s">
        <v>1055</v>
      </c>
      <c r="C144" s="49"/>
      <c r="D144" s="49"/>
      <c r="E144" s="48"/>
      <c r="F144" s="48"/>
      <c r="G144" s="48"/>
      <c r="H144" s="48"/>
      <c r="I144" s="48"/>
      <c r="J144" s="48"/>
      <c r="K144" s="48"/>
      <c r="L144" s="48"/>
      <c r="M144" s="48"/>
      <c r="N144" s="48"/>
    </row>
    <row r="145" spans="1:17" ht="18" customHeight="1" x14ac:dyDescent="0.25">
      <c r="A145" s="48"/>
      <c r="B145" s="680"/>
      <c r="C145" s="49"/>
      <c r="D145" s="49"/>
      <c r="E145" s="48"/>
      <c r="F145" s="48"/>
      <c r="G145" s="48"/>
      <c r="H145" s="48"/>
      <c r="I145" s="48"/>
      <c r="J145" s="48"/>
      <c r="K145" s="48"/>
      <c r="L145" s="48"/>
      <c r="M145" s="48"/>
      <c r="N145" s="48"/>
    </row>
    <row r="146" spans="1:17" ht="16.5" customHeight="1" x14ac:dyDescent="0.25">
      <c r="A146" s="48"/>
      <c r="B146" s="1900" t="s">
        <v>1057</v>
      </c>
      <c r="C146" s="1900"/>
      <c r="D146" s="1900"/>
      <c r="E146" s="1900"/>
      <c r="F146" s="1900"/>
      <c r="G146" s="48"/>
      <c r="H146" s="48"/>
      <c r="I146" s="48"/>
      <c r="J146" s="48"/>
      <c r="K146" s="48"/>
      <c r="L146" s="48"/>
      <c r="M146" s="48"/>
      <c r="N146" s="48"/>
    </row>
    <row r="147" spans="1:17" ht="12" customHeight="1" x14ac:dyDescent="0.25">
      <c r="A147" s="48"/>
      <c r="B147" s="682"/>
      <c r="C147" s="682"/>
      <c r="D147" s="682"/>
      <c r="E147" s="682"/>
      <c r="F147" s="682"/>
      <c r="G147" s="48"/>
      <c r="H147" s="48"/>
      <c r="I147" s="48"/>
      <c r="J147" s="48"/>
      <c r="K147" s="48"/>
      <c r="L147" s="48"/>
      <c r="M147" s="48"/>
      <c r="N147" s="48"/>
    </row>
    <row r="148" spans="1:17" ht="33" customHeight="1" x14ac:dyDescent="0.25">
      <c r="A148" s="48"/>
      <c r="B148" s="255" t="s">
        <v>105</v>
      </c>
      <c r="C148" s="1042" t="s">
        <v>1056</v>
      </c>
      <c r="D148" s="685" t="s">
        <v>1951</v>
      </c>
      <c r="E148" s="2110" t="s">
        <v>1054</v>
      </c>
      <c r="F148" s="2110"/>
      <c r="G148" s="685" t="s">
        <v>1059</v>
      </c>
      <c r="H148" s="256" t="s">
        <v>89</v>
      </c>
      <c r="I148" s="2110" t="s">
        <v>15</v>
      </c>
      <c r="J148" s="2114"/>
      <c r="K148" s="48"/>
      <c r="L148" s="48"/>
      <c r="M148" s="48"/>
      <c r="N148" s="48"/>
      <c r="O148" s="48"/>
    </row>
    <row r="149" spans="1:17" x14ac:dyDescent="0.25">
      <c r="A149" s="48"/>
      <c r="B149" s="661"/>
      <c r="C149" s="1040"/>
      <c r="D149" s="1041" t="s">
        <v>62</v>
      </c>
      <c r="E149" s="687"/>
      <c r="F149" s="662" t="s">
        <v>62</v>
      </c>
      <c r="G149" s="662" t="s">
        <v>62</v>
      </c>
      <c r="H149" s="181" t="str">
        <f>IF(OR(D149="Select",D149=""),"",IF(P149+Q149=2,"Yes","No"))</f>
        <v/>
      </c>
      <c r="I149" s="1686"/>
      <c r="J149" s="1686"/>
      <c r="K149" s="48"/>
      <c r="L149" s="48"/>
      <c r="M149" s="48"/>
      <c r="N149" s="48"/>
      <c r="O149" s="48"/>
      <c r="P149" s="37">
        <f>IF(OR(D149="ULEF",D149="NAF",D149="No UF and no PF resins"),1,IF(OR(E149="",F149="Select"),0,IF(F149="ppm",IF(E149&lt;=0.05,1,0),IF(E149&lt;=0.06,1,0))))</f>
        <v>0</v>
      </c>
      <c r="Q149" s="37">
        <f>IF(OR(G149="no adhesive used",G149="no added-urea formaldehyde"),1,0)</f>
        <v>0</v>
      </c>
    </row>
    <row r="150" spans="1:17" x14ac:dyDescent="0.25">
      <c r="A150" s="48"/>
      <c r="B150" s="661"/>
      <c r="C150" s="107"/>
      <c r="D150" s="1041" t="s">
        <v>62</v>
      </c>
      <c r="E150" s="107"/>
      <c r="F150" s="662" t="s">
        <v>62</v>
      </c>
      <c r="G150" s="686" t="s">
        <v>62</v>
      </c>
      <c r="H150" s="181" t="str">
        <f t="shared" ref="H150:H158" si="4">IF(OR(D150="Select",D150=""),"",IF(P150+Q150=2,"Yes","No"))</f>
        <v/>
      </c>
      <c r="I150" s="1686"/>
      <c r="J150" s="1686"/>
      <c r="K150" s="48"/>
      <c r="L150" s="48"/>
      <c r="M150" s="48"/>
      <c r="N150" s="48"/>
      <c r="O150" s="48"/>
      <c r="P150" s="37">
        <f t="shared" ref="P150:P158" si="5">IF(OR(D150="ULEF",D150="NAF",D150="No UF and no PF resins"),1,IF(OR(E150="",F150="Select"),0,IF(F150="ppm",IF(E150&lt;=0.05,1,0),IF(E150&lt;=0.06,1,0))))</f>
        <v>0</v>
      </c>
      <c r="Q150" s="37">
        <f t="shared" ref="Q150:Q158" si="6">IF(OR(G150="no adhesive used",G150="no added-urea formaldehyde"),1,0)</f>
        <v>0</v>
      </c>
    </row>
    <row r="151" spans="1:17" x14ac:dyDescent="0.25">
      <c r="A151" s="48"/>
      <c r="B151" s="696"/>
      <c r="C151" s="107"/>
      <c r="D151" s="1041" t="s">
        <v>62</v>
      </c>
      <c r="E151" s="107"/>
      <c r="F151" s="699" t="s">
        <v>62</v>
      </c>
      <c r="G151" s="699" t="s">
        <v>62</v>
      </c>
      <c r="H151" s="181" t="str">
        <f t="shared" si="4"/>
        <v/>
      </c>
      <c r="I151" s="1686"/>
      <c r="J151" s="1686"/>
      <c r="K151" s="48"/>
      <c r="L151" s="48"/>
      <c r="M151" s="48"/>
      <c r="N151" s="48"/>
      <c r="O151" s="48"/>
      <c r="P151" s="37">
        <f t="shared" si="5"/>
        <v>0</v>
      </c>
      <c r="Q151" s="37">
        <f t="shared" ref="Q151:Q155" si="7">IF(OR(G151="no adhesive used",G151="no added-urea formaldehyde"),1,0)</f>
        <v>0</v>
      </c>
    </row>
    <row r="152" spans="1:17" x14ac:dyDescent="0.25">
      <c r="A152" s="48"/>
      <c r="B152" s="696"/>
      <c r="C152" s="107"/>
      <c r="D152" s="1041" t="s">
        <v>62</v>
      </c>
      <c r="E152" s="107"/>
      <c r="F152" s="699" t="s">
        <v>62</v>
      </c>
      <c r="G152" s="699" t="s">
        <v>62</v>
      </c>
      <c r="H152" s="181" t="str">
        <f t="shared" si="4"/>
        <v/>
      </c>
      <c r="I152" s="1686"/>
      <c r="J152" s="1686"/>
      <c r="K152" s="48"/>
      <c r="L152" s="48"/>
      <c r="M152" s="48"/>
      <c r="N152" s="48"/>
      <c r="O152" s="48"/>
      <c r="P152" s="37">
        <f t="shared" si="5"/>
        <v>0</v>
      </c>
      <c r="Q152" s="37">
        <f t="shared" si="7"/>
        <v>0</v>
      </c>
    </row>
    <row r="153" spans="1:17" x14ac:dyDescent="0.25">
      <c r="A153" s="48"/>
      <c r="B153" s="696"/>
      <c r="C153" s="107"/>
      <c r="D153" s="1041" t="s">
        <v>62</v>
      </c>
      <c r="E153" s="107"/>
      <c r="F153" s="699" t="s">
        <v>62</v>
      </c>
      <c r="G153" s="699" t="s">
        <v>62</v>
      </c>
      <c r="H153" s="181" t="str">
        <f t="shared" si="4"/>
        <v/>
      </c>
      <c r="I153" s="1686"/>
      <c r="J153" s="1686"/>
      <c r="K153" s="48"/>
      <c r="L153" s="48"/>
      <c r="M153" s="48"/>
      <c r="N153" s="48"/>
      <c r="O153" s="48"/>
      <c r="P153" s="37">
        <f t="shared" si="5"/>
        <v>0</v>
      </c>
      <c r="Q153" s="37">
        <f t="shared" si="7"/>
        <v>0</v>
      </c>
    </row>
    <row r="154" spans="1:17" x14ac:dyDescent="0.25">
      <c r="A154" s="48"/>
      <c r="B154" s="696"/>
      <c r="C154" s="107"/>
      <c r="D154" s="1041" t="s">
        <v>62</v>
      </c>
      <c r="E154" s="107"/>
      <c r="F154" s="699" t="s">
        <v>62</v>
      </c>
      <c r="G154" s="699" t="s">
        <v>62</v>
      </c>
      <c r="H154" s="181" t="str">
        <f t="shared" si="4"/>
        <v/>
      </c>
      <c r="I154" s="1686"/>
      <c r="J154" s="1686"/>
      <c r="K154" s="48"/>
      <c r="L154" s="48"/>
      <c r="M154" s="48"/>
      <c r="N154" s="48"/>
      <c r="O154" s="48"/>
      <c r="P154" s="37">
        <f t="shared" si="5"/>
        <v>0</v>
      </c>
      <c r="Q154" s="37">
        <f t="shared" si="7"/>
        <v>0</v>
      </c>
    </row>
    <row r="155" spans="1:17" x14ac:dyDescent="0.25">
      <c r="A155" s="48"/>
      <c r="B155" s="696"/>
      <c r="C155" s="107"/>
      <c r="D155" s="1041" t="s">
        <v>62</v>
      </c>
      <c r="E155" s="107"/>
      <c r="F155" s="699" t="s">
        <v>62</v>
      </c>
      <c r="G155" s="699" t="s">
        <v>62</v>
      </c>
      <c r="H155" s="181" t="str">
        <f t="shared" si="4"/>
        <v/>
      </c>
      <c r="I155" s="1686"/>
      <c r="J155" s="1686"/>
      <c r="K155" s="48"/>
      <c r="L155" s="48"/>
      <c r="M155" s="48"/>
      <c r="N155" s="48"/>
      <c r="O155" s="48"/>
      <c r="P155" s="37">
        <f t="shared" si="5"/>
        <v>0</v>
      </c>
      <c r="Q155" s="37">
        <f t="shared" si="7"/>
        <v>0</v>
      </c>
    </row>
    <row r="156" spans="1:17" x14ac:dyDescent="0.25">
      <c r="A156" s="48"/>
      <c r="B156" s="661"/>
      <c r="C156" s="107"/>
      <c r="D156" s="1041" t="s">
        <v>62</v>
      </c>
      <c r="E156" s="107"/>
      <c r="F156" s="662" t="s">
        <v>62</v>
      </c>
      <c r="G156" s="686" t="s">
        <v>62</v>
      </c>
      <c r="H156" s="181" t="str">
        <f t="shared" si="4"/>
        <v/>
      </c>
      <c r="I156" s="1686"/>
      <c r="J156" s="1686"/>
      <c r="K156" s="48"/>
      <c r="L156" s="48"/>
      <c r="M156" s="48"/>
      <c r="N156" s="48"/>
      <c r="O156" s="48"/>
      <c r="P156" s="37">
        <f t="shared" si="5"/>
        <v>0</v>
      </c>
      <c r="Q156" s="37">
        <f t="shared" si="6"/>
        <v>0</v>
      </c>
    </row>
    <row r="157" spans="1:17" x14ac:dyDescent="0.25">
      <c r="A157" s="48"/>
      <c r="B157" s="661"/>
      <c r="C157" s="107"/>
      <c r="D157" s="1041" t="s">
        <v>62</v>
      </c>
      <c r="E157" s="107"/>
      <c r="F157" s="662" t="s">
        <v>62</v>
      </c>
      <c r="G157" s="686" t="s">
        <v>62</v>
      </c>
      <c r="H157" s="181" t="str">
        <f t="shared" si="4"/>
        <v/>
      </c>
      <c r="I157" s="1686"/>
      <c r="J157" s="1686"/>
      <c r="K157" s="48"/>
      <c r="L157" s="48"/>
      <c r="M157" s="48"/>
      <c r="N157" s="48"/>
      <c r="O157" s="48"/>
      <c r="P157" s="37">
        <f t="shared" si="5"/>
        <v>0</v>
      </c>
      <c r="Q157" s="37">
        <f t="shared" si="6"/>
        <v>0</v>
      </c>
    </row>
    <row r="158" spans="1:17" x14ac:dyDescent="0.25">
      <c r="A158" s="48"/>
      <c r="B158" s="661"/>
      <c r="C158" s="107"/>
      <c r="D158" s="1041" t="s">
        <v>62</v>
      </c>
      <c r="E158" s="107"/>
      <c r="F158" s="662" t="s">
        <v>62</v>
      </c>
      <c r="G158" s="686" t="s">
        <v>62</v>
      </c>
      <c r="H158" s="181" t="str">
        <f t="shared" si="4"/>
        <v/>
      </c>
      <c r="I158" s="1686"/>
      <c r="J158" s="1686"/>
      <c r="K158" s="48"/>
      <c r="L158" s="48"/>
      <c r="M158" s="48"/>
      <c r="N158" s="48"/>
      <c r="O158" s="48"/>
      <c r="P158" s="37">
        <f t="shared" si="5"/>
        <v>0</v>
      </c>
      <c r="Q158" s="37">
        <f t="shared" si="6"/>
        <v>0</v>
      </c>
    </row>
    <row r="159" spans="1:17" ht="17.25" customHeight="1" x14ac:dyDescent="0.25">
      <c r="A159" s="48"/>
      <c r="B159" s="49"/>
      <c r="C159" s="49"/>
      <c r="D159" s="49"/>
      <c r="E159" s="49"/>
      <c r="F159" s="48"/>
      <c r="G159" s="48"/>
      <c r="H159" s="48"/>
      <c r="I159" s="48"/>
      <c r="J159" s="48"/>
      <c r="K159" s="48"/>
      <c r="L159" s="48"/>
      <c r="M159" s="48"/>
      <c r="N159" s="48"/>
    </row>
    <row r="160" spans="1:17" ht="18.75" customHeight="1" x14ac:dyDescent="0.25">
      <c r="A160" s="48"/>
      <c r="B160" s="2128" t="s">
        <v>1053</v>
      </c>
      <c r="C160" s="2129"/>
      <c r="D160" s="2130"/>
      <c r="E160" s="70" t="str">
        <f>IF(COUNTBLANK(H149:H158)=10,"",IF(COUNTIF(H149:H158,"No")=0,"Yes","No"))</f>
        <v/>
      </c>
      <c r="F160" s="48"/>
      <c r="G160" s="48"/>
      <c r="H160" s="48"/>
      <c r="I160" s="48"/>
      <c r="J160" s="48"/>
      <c r="K160" s="48"/>
      <c r="L160" s="48"/>
      <c r="M160" s="48"/>
      <c r="N160" s="48"/>
    </row>
    <row r="161" spans="1:15" ht="19.5" customHeight="1" x14ac:dyDescent="0.25">
      <c r="A161" s="48"/>
      <c r="B161" s="49"/>
      <c r="C161" s="49"/>
      <c r="D161" s="49"/>
      <c r="E161" s="48"/>
      <c r="F161" s="48"/>
      <c r="G161" s="48"/>
      <c r="H161" s="48"/>
      <c r="I161" s="48"/>
      <c r="J161" s="48"/>
      <c r="K161" s="48"/>
      <c r="L161" s="48"/>
      <c r="M161" s="48"/>
      <c r="N161" s="48"/>
    </row>
    <row r="162" spans="1:15" ht="16.5" customHeight="1" x14ac:dyDescent="0.25">
      <c r="A162" s="2115" t="s">
        <v>97</v>
      </c>
      <c r="B162" s="2115"/>
      <c r="C162" s="2115"/>
      <c r="D162" s="49"/>
      <c r="E162" s="49"/>
      <c r="F162" s="49"/>
      <c r="G162" s="49"/>
      <c r="H162" s="49"/>
      <c r="I162" s="49"/>
      <c r="J162" s="49"/>
      <c r="K162" s="49"/>
      <c r="L162" s="49"/>
      <c r="M162" s="49"/>
      <c r="N162" s="48"/>
    </row>
    <row r="163" spans="1:15" x14ac:dyDescent="0.25">
      <c r="A163" s="48"/>
      <c r="B163" s="49"/>
      <c r="C163" s="49"/>
      <c r="D163" s="49"/>
      <c r="E163" s="48"/>
      <c r="F163" s="48"/>
      <c r="G163" s="48"/>
      <c r="H163" s="48"/>
      <c r="I163" s="48"/>
      <c r="J163" s="48"/>
      <c r="K163" s="48"/>
      <c r="L163" s="48"/>
      <c r="M163" s="48"/>
      <c r="N163" s="48"/>
    </row>
    <row r="164" spans="1:15" ht="21" customHeight="1" x14ac:dyDescent="0.25">
      <c r="A164" s="48"/>
      <c r="B164" s="2093" t="s">
        <v>98</v>
      </c>
      <c r="C164" s="2094"/>
      <c r="D164" s="2094"/>
      <c r="E164" s="2094"/>
      <c r="F164" s="2094"/>
      <c r="G164" s="968" t="s">
        <v>1297</v>
      </c>
      <c r="H164" s="2095" t="s">
        <v>1298</v>
      </c>
      <c r="I164" s="2095"/>
      <c r="J164" s="48"/>
      <c r="K164" s="48"/>
      <c r="L164" s="48"/>
      <c r="M164" s="48"/>
      <c r="N164" s="48"/>
    </row>
    <row r="165" spans="1:15" ht="30" customHeight="1" x14ac:dyDescent="0.25">
      <c r="A165" s="48"/>
      <c r="B165" s="1644" t="str">
        <f>Submittals!H95</f>
        <v>Select the Submission Stage in Project Information</v>
      </c>
      <c r="C165" s="1645" t="s">
        <v>262</v>
      </c>
      <c r="D165" s="1645"/>
      <c r="E165" s="1645"/>
      <c r="F165" s="1645"/>
      <c r="G165" s="967" t="s">
        <v>62</v>
      </c>
      <c r="H165" s="1625"/>
      <c r="I165" s="1626"/>
      <c r="J165" s="48"/>
      <c r="K165" s="48"/>
      <c r="L165" s="48"/>
      <c r="M165" s="48"/>
      <c r="N165" s="48"/>
      <c r="O165" s="37" t="str">
        <f>IF(OR(B165="/",B165="No evidence required at this submission stage"),"Yes",IF(G165="Submitted","Yes","No"))</f>
        <v>No</v>
      </c>
    </row>
    <row r="166" spans="1:15" ht="30" customHeight="1" x14ac:dyDescent="0.25">
      <c r="A166" s="48"/>
      <c r="B166" s="1644" t="str">
        <f>Submittals!H96</f>
        <v>Select the Submission Stage in Project Information</v>
      </c>
      <c r="C166" s="1645" t="s">
        <v>262</v>
      </c>
      <c r="D166" s="1645"/>
      <c r="E166" s="1645"/>
      <c r="F166" s="1645"/>
      <c r="G166" s="967" t="s">
        <v>62</v>
      </c>
      <c r="H166" s="1625"/>
      <c r="I166" s="1626"/>
      <c r="J166" s="48"/>
      <c r="K166" s="48"/>
      <c r="L166" s="48"/>
      <c r="M166" s="48"/>
      <c r="N166" s="48"/>
      <c r="O166" s="37" t="str">
        <f>IF(OR(B166="/",B166="No evidence required at this submission stage"),"Yes",IF(G166="Submitted","Yes","No"))</f>
        <v>No</v>
      </c>
    </row>
    <row r="167" spans="1:15" ht="19.5" customHeight="1" x14ac:dyDescent="0.25">
      <c r="A167" s="48"/>
      <c r="B167" s="49"/>
      <c r="C167" s="49"/>
      <c r="D167" s="49"/>
      <c r="E167" s="48"/>
      <c r="F167" s="48"/>
      <c r="G167" s="48"/>
      <c r="H167" s="48"/>
      <c r="I167" s="48"/>
      <c r="J167" s="48"/>
      <c r="K167" s="48"/>
      <c r="L167" s="48"/>
      <c r="M167" s="48"/>
      <c r="N167" s="48"/>
    </row>
    <row r="168" spans="1:15" ht="16.5" customHeight="1" x14ac:dyDescent="0.25">
      <c r="A168" s="2115" t="s">
        <v>8</v>
      </c>
      <c r="B168" s="2115"/>
      <c r="C168" s="2115"/>
      <c r="D168" s="49"/>
      <c r="E168" s="48"/>
      <c r="F168" s="48"/>
      <c r="G168" s="48"/>
      <c r="H168" s="48"/>
      <c r="I168" s="48"/>
      <c r="J168" s="48"/>
      <c r="K168" s="48"/>
      <c r="L168" s="48"/>
      <c r="M168" s="48"/>
      <c r="N168" s="48"/>
    </row>
    <row r="169" spans="1:15" ht="16.5" customHeight="1" x14ac:dyDescent="0.25">
      <c r="A169" s="48"/>
      <c r="B169" s="49"/>
      <c r="C169" s="49"/>
      <c r="D169" s="49"/>
      <c r="E169" s="48"/>
      <c r="F169" s="48"/>
      <c r="G169" s="48"/>
      <c r="H169" s="48"/>
      <c r="I169" s="48"/>
      <c r="J169" s="48"/>
      <c r="K169" s="48"/>
      <c r="L169" s="48"/>
      <c r="M169" s="48"/>
      <c r="N169" s="48"/>
    </row>
    <row r="170" spans="1:15" ht="18" customHeight="1" x14ac:dyDescent="0.25">
      <c r="A170" s="48"/>
      <c r="B170" s="145" t="s">
        <v>19</v>
      </c>
      <c r="C170" s="8">
        <f>IF(E160="Yes",1,0)</f>
        <v>0</v>
      </c>
      <c r="D170" s="49"/>
      <c r="E170" s="48"/>
      <c r="F170" s="48"/>
      <c r="G170" s="48"/>
      <c r="H170" s="48"/>
      <c r="I170" s="48"/>
      <c r="J170" s="48"/>
      <c r="K170" s="48"/>
      <c r="L170" s="48"/>
      <c r="M170" s="48"/>
      <c r="N170" s="48"/>
    </row>
    <row r="171" spans="1:15" ht="18" customHeight="1" x14ac:dyDescent="0.25">
      <c r="A171" s="48"/>
      <c r="B171" s="146" t="s">
        <v>151</v>
      </c>
      <c r="C171" s="7" t="str">
        <f>IF(AND(COUNTIF(O165:O166,"Yes")=2,C170&gt;0),"Yes","No")</f>
        <v>No</v>
      </c>
      <c r="D171" s="49"/>
      <c r="E171" s="48"/>
      <c r="F171" s="48"/>
      <c r="G171" s="48"/>
      <c r="H171" s="48"/>
      <c r="I171" s="48"/>
      <c r="J171" s="48"/>
      <c r="K171" s="48"/>
      <c r="L171" s="48"/>
      <c r="M171" s="48"/>
      <c r="N171" s="48"/>
    </row>
    <row r="172" spans="1:15" ht="16.5" customHeight="1" x14ac:dyDescent="0.25">
      <c r="A172" s="48"/>
      <c r="B172" s="49"/>
      <c r="C172" s="49"/>
      <c r="D172" s="49"/>
      <c r="E172" s="48"/>
      <c r="F172" s="48"/>
      <c r="G172" s="48"/>
      <c r="H172" s="48"/>
      <c r="I172" s="48"/>
      <c r="J172" s="48"/>
      <c r="K172" s="48"/>
      <c r="L172" s="48"/>
      <c r="M172" s="48"/>
      <c r="N172" s="48"/>
    </row>
    <row r="173" spans="1:15" ht="18.75" customHeight="1" x14ac:dyDescent="0.25">
      <c r="A173" s="2092" t="s">
        <v>2488</v>
      </c>
      <c r="B173" s="2092"/>
      <c r="C173" s="2092"/>
      <c r="D173" s="2092"/>
      <c r="E173" s="2092"/>
      <c r="F173" s="2092"/>
      <c r="G173" s="2092"/>
      <c r="H173" s="2092"/>
      <c r="I173" s="2092"/>
      <c r="J173" s="2092"/>
      <c r="K173" s="2092"/>
      <c r="L173" s="2092"/>
      <c r="M173" s="2092"/>
      <c r="N173" s="2092"/>
    </row>
    <row r="174" spans="1:15" x14ac:dyDescent="0.25">
      <c r="A174" s="48"/>
      <c r="B174" s="48"/>
      <c r="C174" s="48"/>
      <c r="D174" s="48"/>
      <c r="E174" s="49"/>
      <c r="F174" s="48"/>
      <c r="G174" s="48"/>
      <c r="H174" s="48"/>
      <c r="I174" s="48"/>
      <c r="J174" s="48"/>
      <c r="K174" s="48"/>
      <c r="L174" s="48"/>
      <c r="M174" s="48"/>
      <c r="N174" s="48"/>
    </row>
    <row r="175" spans="1:15" ht="16.5" customHeight="1" x14ac:dyDescent="0.25">
      <c r="A175" s="2115" t="s">
        <v>117</v>
      </c>
      <c r="B175" s="2115"/>
      <c r="C175" s="2115"/>
      <c r="D175" s="48"/>
      <c r="E175" s="49"/>
      <c r="F175" s="48"/>
      <c r="G175" s="48"/>
      <c r="H175" s="48"/>
      <c r="I175" s="48"/>
      <c r="J175" s="48"/>
      <c r="K175" s="48"/>
      <c r="L175" s="48"/>
      <c r="M175" s="48"/>
      <c r="N175" s="48"/>
    </row>
    <row r="176" spans="1:15" ht="14.25" customHeight="1" x14ac:dyDescent="0.25">
      <c r="A176" s="48"/>
      <c r="B176" s="48"/>
      <c r="C176" s="48"/>
      <c r="D176" s="48"/>
      <c r="E176" s="49"/>
      <c r="F176" s="48"/>
      <c r="G176" s="48"/>
      <c r="H176" s="48"/>
      <c r="I176" s="48"/>
      <c r="J176" s="48"/>
      <c r="K176" s="48"/>
      <c r="L176" s="48"/>
      <c r="M176" s="48"/>
      <c r="N176" s="48"/>
    </row>
    <row r="177" spans="1:14" x14ac:dyDescent="0.25">
      <c r="A177" s="48"/>
      <c r="B177" s="681" t="s">
        <v>2487</v>
      </c>
      <c r="C177" s="49"/>
      <c r="D177" s="49"/>
      <c r="E177" s="49"/>
      <c r="F177" s="48"/>
      <c r="G177" s="48"/>
      <c r="H177" s="48"/>
      <c r="I177" s="48"/>
      <c r="J177" s="48"/>
      <c r="K177" s="48"/>
      <c r="L177" s="48"/>
      <c r="M177" s="48"/>
      <c r="N177" s="48"/>
    </row>
    <row r="178" spans="1:14" ht="18" customHeight="1" x14ac:dyDescent="0.25">
      <c r="A178" s="48"/>
      <c r="B178" s="49"/>
      <c r="C178" s="49"/>
      <c r="D178" s="49"/>
      <c r="E178" s="49"/>
      <c r="F178" s="48"/>
      <c r="G178" s="48"/>
      <c r="H178" s="48"/>
      <c r="I178" s="48"/>
      <c r="J178" s="48"/>
      <c r="K178" s="48"/>
      <c r="L178" s="48"/>
      <c r="M178" s="48"/>
      <c r="N178" s="48"/>
    </row>
    <row r="179" spans="1:14" ht="15.75" customHeight="1" x14ac:dyDescent="0.25">
      <c r="A179" s="48"/>
      <c r="B179" s="680" t="s">
        <v>2670</v>
      </c>
      <c r="C179" s="49"/>
      <c r="D179" s="49"/>
      <c r="E179" s="49"/>
      <c r="F179" s="48"/>
      <c r="G179" s="48"/>
      <c r="H179" s="48"/>
      <c r="I179" s="48"/>
      <c r="J179" s="48"/>
      <c r="K179" s="48"/>
      <c r="L179" s="48"/>
      <c r="M179" s="48"/>
      <c r="N179" s="48"/>
    </row>
    <row r="180" spans="1:14" x14ac:dyDescent="0.25">
      <c r="A180" s="48"/>
      <c r="B180" s="680"/>
      <c r="C180" s="49"/>
      <c r="D180" s="49"/>
      <c r="E180" s="49"/>
      <c r="F180" s="48"/>
      <c r="G180" s="48"/>
      <c r="H180" s="48"/>
      <c r="I180" s="48"/>
      <c r="J180" s="48"/>
      <c r="K180" s="48"/>
      <c r="L180" s="48"/>
      <c r="M180" s="48"/>
      <c r="N180" s="48"/>
    </row>
    <row r="181" spans="1:14" ht="9.75" customHeight="1" x14ac:dyDescent="0.25">
      <c r="A181" s="48"/>
      <c r="B181" s="49"/>
      <c r="C181" s="49"/>
      <c r="D181" s="49"/>
      <c r="E181" s="49"/>
      <c r="F181" s="48"/>
      <c r="G181" s="48"/>
      <c r="H181" s="48"/>
      <c r="I181" s="48"/>
      <c r="J181" s="48"/>
      <c r="K181" s="48"/>
      <c r="L181" s="48"/>
      <c r="M181" s="48"/>
      <c r="N181" s="48"/>
    </row>
    <row r="182" spans="1:14" ht="15" customHeight="1" x14ac:dyDescent="0.25">
      <c r="A182" s="48"/>
      <c r="B182" s="1900" t="s">
        <v>2671</v>
      </c>
      <c r="C182" s="1900"/>
      <c r="D182" s="1900"/>
      <c r="E182" s="1900"/>
      <c r="F182" s="1900"/>
      <c r="G182" s="1900"/>
      <c r="H182" s="48"/>
      <c r="I182" s="48"/>
      <c r="J182" s="48"/>
      <c r="K182" s="48"/>
      <c r="L182" s="48"/>
      <c r="M182" s="48"/>
      <c r="N182" s="48"/>
    </row>
    <row r="183" spans="1:14" ht="12" customHeight="1" x14ac:dyDescent="0.25">
      <c r="A183" s="48"/>
      <c r="B183" s="49"/>
      <c r="C183" s="49"/>
      <c r="D183" s="49"/>
      <c r="E183" s="48"/>
      <c r="F183" s="48"/>
      <c r="G183" s="48"/>
      <c r="H183" s="48"/>
      <c r="I183" s="48"/>
      <c r="J183" s="48"/>
      <c r="K183" s="48"/>
      <c r="L183" s="48"/>
      <c r="M183" s="48"/>
      <c r="N183" s="48"/>
    </row>
    <row r="184" spans="1:14" ht="27" customHeight="1" x14ac:dyDescent="0.25">
      <c r="A184" s="48"/>
      <c r="B184" s="1264" t="s">
        <v>105</v>
      </c>
      <c r="C184" s="1263" t="s">
        <v>129</v>
      </c>
      <c r="D184" s="1263" t="s">
        <v>2494</v>
      </c>
      <c r="E184" s="1263" t="s">
        <v>197</v>
      </c>
      <c r="F184" s="1263" t="s">
        <v>106</v>
      </c>
      <c r="G184" s="1262" t="s">
        <v>89</v>
      </c>
      <c r="H184" s="2110" t="s">
        <v>15</v>
      </c>
      <c r="I184" s="2110"/>
      <c r="J184" s="2114"/>
      <c r="K184" s="48"/>
      <c r="L184" s="48"/>
      <c r="M184" s="48"/>
      <c r="N184" s="48"/>
    </row>
    <row r="185" spans="1:14" x14ac:dyDescent="0.25">
      <c r="A185" s="48"/>
      <c r="B185" s="1259"/>
      <c r="C185" s="1260"/>
      <c r="D185" s="1259" t="s">
        <v>62</v>
      </c>
      <c r="E185" s="1260"/>
      <c r="F185" s="1260"/>
      <c r="G185" s="181" t="str">
        <f>IF(OR(D185="",D185="Select"),"",IF(OR(D185="Inherently non-emitting product",D185="Certified product"),"Yes",IF(AND(E185&lt;&gt;"",F185&lt;&gt;""),IF(E185&lt;F185,"Yes","No"),"No")))</f>
        <v/>
      </c>
      <c r="H185" s="1648"/>
      <c r="I185" s="1648"/>
      <c r="J185" s="1648"/>
      <c r="K185" s="48"/>
      <c r="L185" s="48"/>
      <c r="M185" s="48"/>
      <c r="N185" s="48"/>
    </row>
    <row r="186" spans="1:14" x14ac:dyDescent="0.25">
      <c r="A186" s="48"/>
      <c r="B186" s="1259"/>
      <c r="C186" s="107"/>
      <c r="D186" s="1259" t="s">
        <v>62</v>
      </c>
      <c r="E186" s="1260"/>
      <c r="F186" s="1260"/>
      <c r="G186" s="181" t="str">
        <f t="shared" ref="G186:G194" si="8">IF(OR(D186="",D186="Select"),"",IF(OR(D186="Inherently non-emitting product",D186="Certified product"),"Yes",IF(AND(E186&lt;&gt;"",F186&lt;&gt;""),IF(E186&lt;F186,"Yes","No"),"No")))</f>
        <v/>
      </c>
      <c r="H186" s="1648"/>
      <c r="I186" s="1648"/>
      <c r="J186" s="1648"/>
      <c r="K186" s="48"/>
      <c r="L186" s="48"/>
      <c r="M186" s="48"/>
      <c r="N186" s="48"/>
    </row>
    <row r="187" spans="1:14" x14ac:dyDescent="0.25">
      <c r="A187" s="48"/>
      <c r="B187" s="1259"/>
      <c r="C187" s="107"/>
      <c r="D187" s="1259" t="s">
        <v>62</v>
      </c>
      <c r="E187" s="1260"/>
      <c r="F187" s="1260"/>
      <c r="G187" s="181" t="str">
        <f t="shared" si="8"/>
        <v/>
      </c>
      <c r="H187" s="1648"/>
      <c r="I187" s="1648"/>
      <c r="J187" s="1648"/>
      <c r="K187" s="48"/>
      <c r="L187" s="48"/>
      <c r="M187" s="48"/>
      <c r="N187" s="48"/>
    </row>
    <row r="188" spans="1:14" x14ac:dyDescent="0.25">
      <c r="A188" s="48"/>
      <c r="B188" s="1259"/>
      <c r="C188" s="107"/>
      <c r="D188" s="1259" t="s">
        <v>62</v>
      </c>
      <c r="E188" s="1260"/>
      <c r="F188" s="1260"/>
      <c r="G188" s="181" t="str">
        <f t="shared" si="8"/>
        <v/>
      </c>
      <c r="H188" s="1648"/>
      <c r="I188" s="1648"/>
      <c r="J188" s="1648"/>
      <c r="K188" s="48"/>
      <c r="L188" s="48"/>
      <c r="M188" s="48"/>
      <c r="N188" s="48"/>
    </row>
    <row r="189" spans="1:14" x14ac:dyDescent="0.25">
      <c r="A189" s="48"/>
      <c r="B189" s="1259"/>
      <c r="C189" s="107"/>
      <c r="D189" s="1259" t="s">
        <v>62</v>
      </c>
      <c r="E189" s="1260"/>
      <c r="F189" s="1260"/>
      <c r="G189" s="181" t="str">
        <f t="shared" si="8"/>
        <v/>
      </c>
      <c r="H189" s="1648"/>
      <c r="I189" s="1648"/>
      <c r="J189" s="1648"/>
      <c r="K189" s="48"/>
      <c r="L189" s="48"/>
      <c r="M189" s="48"/>
      <c r="N189" s="48"/>
    </row>
    <row r="190" spans="1:14" x14ac:dyDescent="0.25">
      <c r="A190" s="48"/>
      <c r="B190" s="1259"/>
      <c r="C190" s="107"/>
      <c r="D190" s="1259" t="s">
        <v>62</v>
      </c>
      <c r="E190" s="1260"/>
      <c r="F190" s="1260"/>
      <c r="G190" s="181" t="str">
        <f t="shared" si="8"/>
        <v/>
      </c>
      <c r="H190" s="1648"/>
      <c r="I190" s="1648"/>
      <c r="J190" s="1648"/>
      <c r="K190" s="48"/>
      <c r="L190" s="48"/>
      <c r="M190" s="48"/>
      <c r="N190" s="48"/>
    </row>
    <row r="191" spans="1:14" x14ac:dyDescent="0.25">
      <c r="A191" s="48"/>
      <c r="B191" s="1259"/>
      <c r="C191" s="107"/>
      <c r="D191" s="1259" t="s">
        <v>62</v>
      </c>
      <c r="E191" s="1260"/>
      <c r="F191" s="1260"/>
      <c r="G191" s="181" t="str">
        <f t="shared" si="8"/>
        <v/>
      </c>
      <c r="H191" s="1648"/>
      <c r="I191" s="1648"/>
      <c r="J191" s="1648"/>
      <c r="K191" s="48"/>
      <c r="L191" s="48"/>
      <c r="M191" s="48"/>
      <c r="N191" s="48"/>
    </row>
    <row r="192" spans="1:14" x14ac:dyDescent="0.25">
      <c r="A192" s="48"/>
      <c r="B192" s="1259"/>
      <c r="C192" s="107"/>
      <c r="D192" s="1259" t="s">
        <v>62</v>
      </c>
      <c r="E192" s="107"/>
      <c r="F192" s="107"/>
      <c r="G192" s="181" t="str">
        <f t="shared" si="8"/>
        <v/>
      </c>
      <c r="H192" s="1648"/>
      <c r="I192" s="1648"/>
      <c r="J192" s="1648"/>
      <c r="K192" s="48"/>
      <c r="L192" s="48"/>
      <c r="M192" s="48"/>
      <c r="N192" s="48"/>
    </row>
    <row r="193" spans="1:15" x14ac:dyDescent="0.25">
      <c r="A193" s="48"/>
      <c r="B193" s="1259"/>
      <c r="C193" s="107"/>
      <c r="D193" s="1259" t="s">
        <v>62</v>
      </c>
      <c r="E193" s="107"/>
      <c r="F193" s="107"/>
      <c r="G193" s="181" t="str">
        <f t="shared" si="8"/>
        <v/>
      </c>
      <c r="H193" s="1648"/>
      <c r="I193" s="1648"/>
      <c r="J193" s="1648"/>
      <c r="K193" s="48"/>
      <c r="L193" s="48"/>
      <c r="M193" s="48"/>
      <c r="N193" s="48"/>
    </row>
    <row r="194" spans="1:15" x14ac:dyDescent="0.25">
      <c r="A194" s="48"/>
      <c r="B194" s="1259"/>
      <c r="C194" s="107"/>
      <c r="D194" s="1259" t="s">
        <v>62</v>
      </c>
      <c r="E194" s="107"/>
      <c r="F194" s="107"/>
      <c r="G194" s="181" t="str">
        <f t="shared" si="8"/>
        <v/>
      </c>
      <c r="H194" s="1648"/>
      <c r="I194" s="1648"/>
      <c r="J194" s="1648"/>
      <c r="K194" s="48"/>
      <c r="L194" s="48"/>
      <c r="M194" s="48"/>
      <c r="N194" s="48"/>
    </row>
    <row r="195" spans="1:15" ht="18" customHeight="1" x14ac:dyDescent="0.25">
      <c r="A195" s="48"/>
      <c r="B195" s="49"/>
      <c r="C195" s="49"/>
      <c r="D195" s="49"/>
      <c r="E195" s="49"/>
      <c r="F195" s="48"/>
      <c r="G195" s="48"/>
      <c r="H195" s="48"/>
      <c r="I195" s="48"/>
      <c r="J195" s="48"/>
      <c r="K195" s="48"/>
      <c r="L195" s="48"/>
      <c r="M195" s="48"/>
      <c r="N195" s="48"/>
    </row>
    <row r="196" spans="1:15" ht="19.5" customHeight="1" x14ac:dyDescent="0.25">
      <c r="A196" s="48"/>
      <c r="B196" s="2128" t="s">
        <v>2699</v>
      </c>
      <c r="C196" s="2129"/>
      <c r="D196" s="2130"/>
      <c r="E196" s="70" t="str">
        <f>IF(COUNTBLANK(G185:G194)=10,"",IF(COUNTIF(G185:G194,"No")=0,"Yes","No"))</f>
        <v/>
      </c>
      <c r="F196" s="48"/>
      <c r="G196" s="48"/>
      <c r="H196" s="48"/>
      <c r="I196" s="48"/>
      <c r="J196" s="48"/>
      <c r="K196" s="48"/>
      <c r="L196" s="48"/>
      <c r="M196" s="48"/>
      <c r="N196" s="48"/>
    </row>
    <row r="197" spans="1:15" ht="18.75" customHeight="1" x14ac:dyDescent="0.25">
      <c r="A197" s="48"/>
      <c r="B197" s="49"/>
      <c r="C197" s="49"/>
      <c r="D197" s="49"/>
      <c r="E197" s="48"/>
      <c r="F197" s="48"/>
      <c r="G197" s="48"/>
      <c r="H197" s="48"/>
      <c r="I197" s="48"/>
      <c r="J197" s="48"/>
      <c r="K197" s="48"/>
      <c r="L197" s="48"/>
      <c r="M197" s="48"/>
      <c r="N197" s="48"/>
    </row>
    <row r="198" spans="1:15" ht="16.5" customHeight="1" x14ac:dyDescent="0.25">
      <c r="A198" s="2115" t="s">
        <v>97</v>
      </c>
      <c r="B198" s="2115"/>
      <c r="C198" s="2115"/>
      <c r="D198" s="49"/>
      <c r="E198" s="49"/>
      <c r="F198" s="49"/>
      <c r="G198" s="49"/>
      <c r="H198" s="49"/>
      <c r="I198" s="49"/>
      <c r="J198" s="49"/>
      <c r="K198" s="49"/>
      <c r="L198" s="49"/>
      <c r="M198" s="49"/>
      <c r="N198" s="48"/>
    </row>
    <row r="199" spans="1:15" x14ac:dyDescent="0.25">
      <c r="A199" s="48"/>
      <c r="B199" s="49"/>
      <c r="C199" s="49"/>
      <c r="D199" s="49"/>
      <c r="E199" s="48"/>
      <c r="F199" s="48"/>
      <c r="G199" s="48"/>
      <c r="H199" s="48"/>
      <c r="I199" s="48"/>
      <c r="J199" s="48"/>
      <c r="K199" s="48"/>
      <c r="L199" s="48"/>
      <c r="M199" s="48"/>
      <c r="N199" s="48"/>
    </row>
    <row r="200" spans="1:15" ht="21" customHeight="1" x14ac:dyDescent="0.25">
      <c r="A200" s="48"/>
      <c r="B200" s="2093" t="s">
        <v>98</v>
      </c>
      <c r="C200" s="2094"/>
      <c r="D200" s="2094"/>
      <c r="E200" s="2094"/>
      <c r="F200" s="2094"/>
      <c r="G200" s="1262" t="s">
        <v>1297</v>
      </c>
      <c r="H200" s="2095" t="s">
        <v>1298</v>
      </c>
      <c r="I200" s="2095"/>
      <c r="J200" s="48"/>
      <c r="K200" s="48"/>
      <c r="L200" s="48"/>
      <c r="M200" s="48"/>
      <c r="N200" s="48"/>
    </row>
    <row r="201" spans="1:15" ht="30" customHeight="1" x14ac:dyDescent="0.25">
      <c r="A201" s="48"/>
      <c r="B201" s="1644" t="str">
        <f>Submittals!H97</f>
        <v>Select the Submission Stage in Project Information</v>
      </c>
      <c r="C201" s="1645" t="s">
        <v>262</v>
      </c>
      <c r="D201" s="1645"/>
      <c r="E201" s="1645"/>
      <c r="F201" s="1645"/>
      <c r="G201" s="1259" t="s">
        <v>62</v>
      </c>
      <c r="H201" s="1625"/>
      <c r="I201" s="1626"/>
      <c r="J201" s="48"/>
      <c r="K201" s="48"/>
      <c r="L201" s="48"/>
      <c r="M201" s="48"/>
      <c r="N201" s="48"/>
      <c r="O201" s="37" t="str">
        <f>IF(OR(B201="/",B201="No evidence required at this submission stage"),"Yes",IF(G201="Submitted","Yes","No"))</f>
        <v>No</v>
      </c>
    </row>
    <row r="202" spans="1:15" ht="30" customHeight="1" x14ac:dyDescent="0.25">
      <c r="A202" s="48"/>
      <c r="B202" s="1644" t="str">
        <f>Submittals!H98</f>
        <v>Select the Submission Stage in Project Information</v>
      </c>
      <c r="C202" s="1645" t="s">
        <v>262</v>
      </c>
      <c r="D202" s="1645"/>
      <c r="E202" s="1645"/>
      <c r="F202" s="1645"/>
      <c r="G202" s="1259" t="s">
        <v>62</v>
      </c>
      <c r="H202" s="1625"/>
      <c r="I202" s="1626"/>
      <c r="J202" s="48"/>
      <c r="K202" s="48"/>
      <c r="L202" s="48"/>
      <c r="M202" s="48"/>
      <c r="N202" s="48"/>
      <c r="O202" s="37" t="str">
        <f>IF(OR(B202="/",B202="No evidence required at this submission stage"),"Yes",IF(G202="Submitted","Yes","No"))</f>
        <v>No</v>
      </c>
    </row>
    <row r="203" spans="1:15" ht="19.5" customHeight="1" x14ac:dyDescent="0.25">
      <c r="A203" s="48"/>
      <c r="B203" s="49"/>
      <c r="C203" s="49"/>
      <c r="D203" s="49"/>
      <c r="E203" s="48"/>
      <c r="F203" s="48"/>
      <c r="G203" s="48"/>
      <c r="H203" s="48"/>
      <c r="I203" s="48"/>
      <c r="J203" s="48"/>
      <c r="K203" s="48"/>
      <c r="L203" s="48"/>
      <c r="M203" s="48"/>
      <c r="N203" s="48"/>
    </row>
    <row r="204" spans="1:15" ht="16.5" customHeight="1" x14ac:dyDescent="0.25">
      <c r="A204" s="2115" t="s">
        <v>8</v>
      </c>
      <c r="B204" s="2115"/>
      <c r="C204" s="2115"/>
      <c r="D204" s="49"/>
      <c r="E204" s="48"/>
      <c r="F204" s="48"/>
      <c r="G204" s="48"/>
      <c r="H204" s="48"/>
      <c r="I204" s="48"/>
      <c r="J204" s="48"/>
      <c r="K204" s="48"/>
      <c r="L204" s="48"/>
      <c r="M204" s="48"/>
      <c r="N204" s="48"/>
    </row>
    <row r="205" spans="1:15" ht="16.5" customHeight="1" x14ac:dyDescent="0.25">
      <c r="A205" s="48"/>
      <c r="B205" s="49"/>
      <c r="C205" s="49"/>
      <c r="D205" s="49"/>
      <c r="E205" s="48"/>
      <c r="F205" s="48"/>
      <c r="G205" s="48"/>
      <c r="H205" s="48"/>
      <c r="I205" s="48"/>
      <c r="J205" s="48"/>
      <c r="K205" s="48"/>
      <c r="L205" s="48"/>
      <c r="M205" s="48"/>
      <c r="N205" s="48"/>
    </row>
    <row r="206" spans="1:15" ht="18" customHeight="1" x14ac:dyDescent="0.25">
      <c r="A206" s="48"/>
      <c r="B206" s="145" t="s">
        <v>19</v>
      </c>
      <c r="C206" s="8">
        <f>IF(E196="Yes",1,0)</f>
        <v>0</v>
      </c>
      <c r="D206" s="49"/>
      <c r="E206" s="48"/>
      <c r="F206" s="48"/>
      <c r="G206" s="48"/>
      <c r="H206" s="48"/>
      <c r="I206" s="48"/>
      <c r="J206" s="48"/>
      <c r="K206" s="48"/>
      <c r="L206" s="48"/>
      <c r="M206" s="48"/>
      <c r="N206" s="48"/>
    </row>
    <row r="207" spans="1:15" ht="18" customHeight="1" x14ac:dyDescent="0.25">
      <c r="A207" s="48"/>
      <c r="B207" s="146" t="s">
        <v>151</v>
      </c>
      <c r="C207" s="7" t="str">
        <f>IF(AND(COUNTIF(O201:O202,"Yes")=2,C206&gt;0),"Yes","No")</f>
        <v>No</v>
      </c>
      <c r="D207" s="49"/>
      <c r="E207" s="48"/>
      <c r="F207" s="48"/>
      <c r="G207" s="48"/>
      <c r="H207" s="48"/>
      <c r="I207" s="48"/>
      <c r="J207" s="48"/>
      <c r="K207" s="48"/>
      <c r="L207" s="48"/>
      <c r="M207" s="48"/>
      <c r="N207" s="48"/>
    </row>
    <row r="208" spans="1:15" ht="21" customHeight="1" x14ac:dyDescent="0.25">
      <c r="A208" s="48"/>
      <c r="B208" s="49"/>
      <c r="C208" s="49"/>
      <c r="D208" s="49"/>
      <c r="E208" s="48"/>
      <c r="F208" s="48"/>
      <c r="G208" s="48"/>
      <c r="H208" s="48"/>
      <c r="I208" s="48"/>
      <c r="J208" s="48"/>
      <c r="K208" s="48"/>
      <c r="L208" s="48"/>
      <c r="M208" s="48"/>
      <c r="N208" s="48"/>
    </row>
  </sheetData>
  <sheetProtection algorithmName="SHA-512" hashValue="i4g0lMu2QN3Z3YsVKMyV1zgvrnaC+IQvnL3+z/7KIOEXolcrK8vTJF5FygyRd/GGpwyXAp2oMc7bWl0OXdEenQ==" saltValue="U9Olee7293P/hn0Fzm3mCA==" spinCount="100000" sheet="1" objects="1" scenarios="1"/>
  <dataConsolidate/>
  <mergeCells count="137">
    <mergeCell ref="B165:F165"/>
    <mergeCell ref="H165:I165"/>
    <mergeCell ref="B166:F166"/>
    <mergeCell ref="H166:I166"/>
    <mergeCell ref="A162:C162"/>
    <mergeCell ref="A168:C168"/>
    <mergeCell ref="B93:F93"/>
    <mergeCell ref="H93:I93"/>
    <mergeCell ref="B129:F129"/>
    <mergeCell ref="H129:I129"/>
    <mergeCell ref="B164:F164"/>
    <mergeCell ref="H164:I164"/>
    <mergeCell ref="B94:F94"/>
    <mergeCell ref="H94:I94"/>
    <mergeCell ref="B95:F95"/>
    <mergeCell ref="H95:I95"/>
    <mergeCell ref="B130:F130"/>
    <mergeCell ref="H130:I130"/>
    <mergeCell ref="B131:F131"/>
    <mergeCell ref="H131:I131"/>
    <mergeCell ref="A97:C97"/>
    <mergeCell ref="I150:J150"/>
    <mergeCell ref="I156:J156"/>
    <mergeCell ref="I157:J157"/>
    <mergeCell ref="A1:N1"/>
    <mergeCell ref="H2:J4"/>
    <mergeCell ref="A19:N19"/>
    <mergeCell ref="A32:N32"/>
    <mergeCell ref="A67:N67"/>
    <mergeCell ref="A34:C34"/>
    <mergeCell ref="A56:C56"/>
    <mergeCell ref="A62:C62"/>
    <mergeCell ref="A5:N7"/>
    <mergeCell ref="B13:E13"/>
    <mergeCell ref="B14:E14"/>
    <mergeCell ref="B15:E15"/>
    <mergeCell ref="B11:E11"/>
    <mergeCell ref="A9:N9"/>
    <mergeCell ref="B17:E17"/>
    <mergeCell ref="B16:E16"/>
    <mergeCell ref="H42:J42"/>
    <mergeCell ref="H43:J43"/>
    <mergeCell ref="H44:J44"/>
    <mergeCell ref="H45:J45"/>
    <mergeCell ref="H46:J46"/>
    <mergeCell ref="H47:J47"/>
    <mergeCell ref="H48:J48"/>
    <mergeCell ref="B59:F59"/>
    <mergeCell ref="B160:D160"/>
    <mergeCell ref="I151:J151"/>
    <mergeCell ref="I152:J152"/>
    <mergeCell ref="I153:J153"/>
    <mergeCell ref="I154:J154"/>
    <mergeCell ref="I155:J155"/>
    <mergeCell ref="I149:J149"/>
    <mergeCell ref="A138:N138"/>
    <mergeCell ref="E148:F148"/>
    <mergeCell ref="B146:F146"/>
    <mergeCell ref="I148:J148"/>
    <mergeCell ref="A127:C127"/>
    <mergeCell ref="A133:C133"/>
    <mergeCell ref="A140:C140"/>
    <mergeCell ref="B12:E12"/>
    <mergeCell ref="B54:C54"/>
    <mergeCell ref="B89:C89"/>
    <mergeCell ref="B75:G75"/>
    <mergeCell ref="B40:G40"/>
    <mergeCell ref="B111:G111"/>
    <mergeCell ref="B58:F58"/>
    <mergeCell ref="A69:C69"/>
    <mergeCell ref="A91:C91"/>
    <mergeCell ref="A102:N102"/>
    <mergeCell ref="H58:I58"/>
    <mergeCell ref="H59:I59"/>
    <mergeCell ref="H60:I60"/>
    <mergeCell ref="B125:C125"/>
    <mergeCell ref="B60:F60"/>
    <mergeCell ref="A104:C104"/>
    <mergeCell ref="H86:J86"/>
    <mergeCell ref="H82:J82"/>
    <mergeCell ref="H87:J87"/>
    <mergeCell ref="H49:J49"/>
    <mergeCell ref="H50:J50"/>
    <mergeCell ref="B200:F200"/>
    <mergeCell ref="H200:I200"/>
    <mergeCell ref="H190:J190"/>
    <mergeCell ref="H191:J191"/>
    <mergeCell ref="H192:J192"/>
    <mergeCell ref="H193:J193"/>
    <mergeCell ref="H194:J194"/>
    <mergeCell ref="A173:N173"/>
    <mergeCell ref="A175:C175"/>
    <mergeCell ref="B182:G182"/>
    <mergeCell ref="H189:J189"/>
    <mergeCell ref="B201:F201"/>
    <mergeCell ref="H201:I201"/>
    <mergeCell ref="B202:F202"/>
    <mergeCell ref="H202:I202"/>
    <mergeCell ref="A204:C204"/>
    <mergeCell ref="B21:K21"/>
    <mergeCell ref="B22:K22"/>
    <mergeCell ref="B23:K23"/>
    <mergeCell ref="B24:K24"/>
    <mergeCell ref="B26:K26"/>
    <mergeCell ref="B27:K27"/>
    <mergeCell ref="B28:K28"/>
    <mergeCell ref="B29:K29"/>
    <mergeCell ref="B30:K30"/>
    <mergeCell ref="B196:D196"/>
    <mergeCell ref="H77:J77"/>
    <mergeCell ref="H78:J78"/>
    <mergeCell ref="H79:J79"/>
    <mergeCell ref="H80:J80"/>
    <mergeCell ref="H81:J81"/>
    <mergeCell ref="H83:J83"/>
    <mergeCell ref="H84:J84"/>
    <mergeCell ref="H85:J85"/>
    <mergeCell ref="A198:C198"/>
    <mergeCell ref="H51:J51"/>
    <mergeCell ref="H52:J52"/>
    <mergeCell ref="H184:J184"/>
    <mergeCell ref="H185:J185"/>
    <mergeCell ref="H186:J186"/>
    <mergeCell ref="H187:J187"/>
    <mergeCell ref="H188:J188"/>
    <mergeCell ref="I158:J158"/>
    <mergeCell ref="H113:J113"/>
    <mergeCell ref="H114:J114"/>
    <mergeCell ref="H115:J115"/>
    <mergeCell ref="H116:J116"/>
    <mergeCell ref="H117:J117"/>
    <mergeCell ref="H118:J118"/>
    <mergeCell ref="H119:J119"/>
    <mergeCell ref="H120:J120"/>
    <mergeCell ref="H121:J121"/>
    <mergeCell ref="H122:J122"/>
    <mergeCell ref="H123:J123"/>
  </mergeCells>
  <conditionalFormatting sqref="E43:F52 E78:F87">
    <cfRule type="expression" dxfId="344" priority="51">
      <formula>$D43&lt;&gt;"Product with low-VOC content"</formula>
    </cfRule>
  </conditionalFormatting>
  <conditionalFormatting sqref="B59:B60">
    <cfRule type="expression" dxfId="343" priority="49">
      <formula>#REF!&lt;&gt;"Prescriptive Path"</formula>
    </cfRule>
  </conditionalFormatting>
  <conditionalFormatting sqref="G59:G60">
    <cfRule type="expression" dxfId="342" priority="45">
      <formula>$B59="/"</formula>
    </cfRule>
    <cfRule type="expression" dxfId="341" priority="46">
      <formula>$B59="No evidence required at this submission stage"</formula>
    </cfRule>
  </conditionalFormatting>
  <conditionalFormatting sqref="H59:I60">
    <cfRule type="expression" dxfId="340" priority="43">
      <formula>$B59="No evidence required at this submission stage"</formula>
    </cfRule>
    <cfRule type="expression" dxfId="339" priority="44">
      <formula>$B59="/"</formula>
    </cfRule>
  </conditionalFormatting>
  <conditionalFormatting sqref="B94">
    <cfRule type="expression" dxfId="338" priority="42">
      <formula>#REF!&lt;&gt;"Prescriptive Path"</formula>
    </cfRule>
  </conditionalFormatting>
  <conditionalFormatting sqref="B130">
    <cfRule type="expression" dxfId="337" priority="37">
      <formula>#REF!&lt;&gt;"Prescriptive Path"</formula>
    </cfRule>
  </conditionalFormatting>
  <conditionalFormatting sqref="B165">
    <cfRule type="expression" dxfId="336" priority="32">
      <formula>#REF!&lt;&gt;"Prescriptive Path"</formula>
    </cfRule>
  </conditionalFormatting>
  <conditionalFormatting sqref="G94:G95">
    <cfRule type="expression" dxfId="335" priority="26">
      <formula>$B94="/"</formula>
    </cfRule>
    <cfRule type="expression" dxfId="334" priority="27">
      <formula>$B94="No evidence required at this submission stage"</formula>
    </cfRule>
  </conditionalFormatting>
  <conditionalFormatting sqref="H94:I95">
    <cfRule type="expression" dxfId="333" priority="24">
      <formula>$B94="No evidence required at this submission stage"</formula>
    </cfRule>
    <cfRule type="expression" dxfId="332" priority="25">
      <formula>$B94="/"</formula>
    </cfRule>
  </conditionalFormatting>
  <conditionalFormatting sqref="G130:G131">
    <cfRule type="expression" dxfId="331" priority="22">
      <formula>$B130="/"</formula>
    </cfRule>
    <cfRule type="expression" dxfId="330" priority="23">
      <formula>$B130="No evidence required at this submission stage"</formula>
    </cfRule>
  </conditionalFormatting>
  <conditionalFormatting sqref="H130:I131">
    <cfRule type="expression" dxfId="329" priority="20">
      <formula>$B130="No evidence required at this submission stage"</formula>
    </cfRule>
    <cfRule type="expression" dxfId="328" priority="21">
      <formula>$B130="/"</formula>
    </cfRule>
  </conditionalFormatting>
  <conditionalFormatting sqref="G165:G166">
    <cfRule type="expression" dxfId="327" priority="18">
      <formula>$B165="/"</formula>
    </cfRule>
    <cfRule type="expression" dxfId="326" priority="19">
      <formula>$B165="No evidence required at this submission stage"</formula>
    </cfRule>
  </conditionalFormatting>
  <conditionalFormatting sqref="H165:I166">
    <cfRule type="expression" dxfId="325" priority="16">
      <formula>$B165="No evidence required at this submission stage"</formula>
    </cfRule>
    <cfRule type="expression" dxfId="324" priority="17">
      <formula>$B165="/"</formula>
    </cfRule>
  </conditionalFormatting>
  <conditionalFormatting sqref="D149:D158">
    <cfRule type="expression" dxfId="323" priority="15">
      <formula>$D149="Yes"</formula>
    </cfRule>
  </conditionalFormatting>
  <conditionalFormatting sqref="E149:F158">
    <cfRule type="expression" dxfId="322" priority="14">
      <formula>$D149&lt;&gt;"under concentration limit of 0.05 ppm"</formula>
    </cfRule>
  </conditionalFormatting>
  <conditionalFormatting sqref="B201">
    <cfRule type="expression" dxfId="321" priority="11">
      <formula>#REF!&lt;&gt;"Prescriptive Path"</formula>
    </cfRule>
  </conditionalFormatting>
  <conditionalFormatting sqref="G201:G202">
    <cfRule type="expression" dxfId="320" priority="9">
      <formula>$B201="/"</formula>
    </cfRule>
    <cfRule type="expression" dxfId="319" priority="10">
      <formula>$B201="No evidence required at this submission stage"</formula>
    </cfRule>
  </conditionalFormatting>
  <conditionalFormatting sqref="H201:I202">
    <cfRule type="expression" dxfId="318" priority="7">
      <formula>$B201="No evidence required at this submission stage"</formula>
    </cfRule>
    <cfRule type="expression" dxfId="317" priority="8">
      <formula>$B201="/"</formula>
    </cfRule>
  </conditionalFormatting>
  <conditionalFormatting sqref="E185:F194">
    <cfRule type="expression" dxfId="316" priority="6">
      <formula>$D185&lt;&gt;"Product with low-VOC content"</formula>
    </cfRule>
  </conditionalFormatting>
  <conditionalFormatting sqref="B95">
    <cfRule type="expression" dxfId="315" priority="5">
      <formula>#REF!&lt;&gt;"Prescriptive Path"</formula>
    </cfRule>
  </conditionalFormatting>
  <conditionalFormatting sqref="B131">
    <cfRule type="expression" dxfId="314" priority="4">
      <formula>#REF!&lt;&gt;"Prescriptive Path"</formula>
    </cfRule>
  </conditionalFormatting>
  <conditionalFormatting sqref="B166">
    <cfRule type="expression" dxfId="313" priority="3">
      <formula>#REF!&lt;&gt;"Prescriptive Path"</formula>
    </cfRule>
  </conditionalFormatting>
  <conditionalFormatting sqref="B202">
    <cfRule type="expression" dxfId="312" priority="2">
      <formula>#REF!&lt;&gt;"Prescriptive Path"</formula>
    </cfRule>
  </conditionalFormatting>
  <conditionalFormatting sqref="E114:F123">
    <cfRule type="expression" dxfId="311" priority="1">
      <formula>$D114&lt;&gt;"Product with low-VOC content"</formula>
    </cfRule>
  </conditionalFormatting>
  <dataValidations disablePrompts="1" count="11">
    <dataValidation allowBlank="1" showInputMessage="1" showErrorMessage="1" prompt="Certified as low VOC products by which internationally or regionally recognised authorities?_x000a_VOC content limit set by which internationally or regionally recognised authorities?" sqref="H78:H87 H43:H52 I148 H185:H194 H114:H123"/>
    <dataValidation allowBlank="1" showInputMessage="1" showErrorMessage="1" prompt="Complete only if the product is not certified as low VOC " sqref="E184:E194 E42:E52 E77:E87 E113:E123"/>
    <dataValidation allowBlank="1" showInputMessage="1" showErrorMessage="1" prompt="Complete only if the product is not certified as low VOC._x000a_Use content limit value from any internationally or regionally recognised authorities (e.g. Singapore Green Label, California Air Resources Board, ISO, etc.)" sqref="F42:F52 F77:F87 F184:F194 F113:F123"/>
    <dataValidation type="list" allowBlank="1" showInputMessage="1" showErrorMessage="1" prompt="Select the unit for the formaldehyde content:_x000a_- ppm of formaldehyde_x000a_- or, mg/m2.h emission rate" sqref="F149:F158">
      <formula1>"Select,ppm,mg/m2.h"</formula1>
    </dataValidation>
    <dataValidation type="list" allowBlank="1" showInputMessage="1" showErrorMessage="1" sqref="G149:G158">
      <formula1>"Select, no added-urea formaldehyde,adhesive with urea-formaldehyde,no adhesive used"</formula1>
    </dataValidation>
    <dataValidation allowBlank="1" showInputMessage="1" showErrorMessage="1" prompt="Provide more details:_x000a_- Standard followed to measure formaldehyde content_x000a_- Type of adhseive used_x000a_- etc." sqref="I149:J158"/>
    <dataValidation type="list" allowBlank="1" showInputMessage="1" showErrorMessage="1" sqref="G59:G60 G94:G95 G130:G131 G165:G166 G201:G202">
      <formula1>"Select,Submitted,Not submitted"</formula1>
    </dataValidation>
    <dataValidation type="list" allowBlank="1" showInputMessage="1" showErrorMessage="1" sqref="D150:D158">
      <formula1>"Select,no UF and no PF resins, ULEF, NAF, under concentration limit of 0.05 ppm"</formula1>
    </dataValidation>
    <dataValidation allowBlank="1" showInputMessage="1" showErrorMessage="1" prompt="(only if product is considered as low formaldehyde because the formaldehyde content is lower than the concentration limit of 0.05 ppm)" sqref="E148:F148 E149:E158"/>
    <dataValidation type="list" allowBlank="1" showInputMessage="1" showErrorMessage="1" sqref="D149">
      <formula1>"Select,no UF and no PF resins, ULEF, NAF, under concentration limit of 0.05 ppm,No"</formula1>
    </dataValidation>
    <dataValidation type="list" allowBlank="1" showInputMessage="1" showErrorMessage="1" sqref="D43:D52 D78:D87 D185:D194 D114:D123">
      <formula1>"Select,Certified product,Product with low-VOC content,Inherently non-emitting product,No"</formula1>
    </dataValidation>
  </dataValidations>
  <hyperlinks>
    <hyperlink ref="L3" location="'H-5 Interior Plants'!B3" tooltip="H-5" display="H-5"/>
    <hyperlink ref="L2" location="'H-4 Removal of pollutants'!B3" tooltip="H-4" display="H-4"/>
    <hyperlink ref="K4" location="'H-2 CO2 Monitoring'!B3" tooltip="H-2" display="H-2"/>
    <hyperlink ref="K3" location="'H-1 Fresh Air Supply'!B3" tooltip="H-1" display="H-1"/>
    <hyperlink ref="K2" location="'H-PR-1 Indoor Smoking'!B3" tooltip="H-PR-1" display="H-PR-1"/>
    <hyperlink ref="M3" location="'H-8 External Views'!B3" tooltip="H-8" display="H-8"/>
    <hyperlink ref="M4" location="'H-9 Lighting Comfort'!B3" tooltip="H-9" display="H-9"/>
    <hyperlink ref="M2" location="'H-7 Daylighting'!B3" tooltip="H-7" display="H-7"/>
    <hyperlink ref="N2" location="'H-10 Thermal Comfort'!B3" tooltip="H-10" display="H-10"/>
    <hyperlink ref="N4" location="'H-12 Post-occupancy Comfort'!B3" tooltip="H-12" display="H-12"/>
    <hyperlink ref="L4" location="'H-6 Green Cleaning'!B3" tooltip="H-6" display="H-6"/>
    <hyperlink ref="N3" location="'H-11 Acoustic Comfort'!B3" tooltip="H-11" display="H-11"/>
  </hyperlink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43634"/>
  </sheetPr>
  <dimension ref="A1:O199"/>
  <sheetViews>
    <sheetView showRowColHeaders="0" zoomScaleNormal="100" workbookViewId="0">
      <pane ySplit="8" topLeftCell="A10" activePane="bottomLeft" state="frozen"/>
      <selection pane="bottomLeft" activeCell="F28" sqref="F27:F28"/>
    </sheetView>
  </sheetViews>
  <sheetFormatPr defaultColWidth="0" defaultRowHeight="15" customHeight="1" zeroHeight="1" x14ac:dyDescent="0.25"/>
  <cols>
    <col min="1" max="1" width="5.7109375" customWidth="1"/>
    <col min="2" max="2" width="18.7109375" customWidth="1"/>
    <col min="3" max="3" width="19" customWidth="1"/>
    <col min="4" max="6" width="18.42578125" customWidth="1"/>
    <col min="7" max="7" width="22.5703125" customWidth="1"/>
    <col min="8" max="8" width="22.7109375" customWidth="1"/>
    <col min="9" max="9" width="15.5703125" customWidth="1"/>
    <col min="10" max="10" width="8.28515625" customWidth="1"/>
    <col min="11" max="13" width="8.140625" customWidth="1"/>
    <col min="14" max="16384" width="9.140625" hidden="1"/>
  </cols>
  <sheetData>
    <row r="1" spans="1:14" s="37" customFormat="1" ht="23.25" x14ac:dyDescent="0.25">
      <c r="A1" s="2104" t="s">
        <v>456</v>
      </c>
      <c r="B1" s="2104"/>
      <c r="C1" s="2104"/>
      <c r="D1" s="2104"/>
      <c r="E1" s="2104"/>
      <c r="F1" s="2104"/>
      <c r="G1" s="2104"/>
      <c r="H1" s="2104"/>
      <c r="I1" s="2104"/>
      <c r="J1" s="2104"/>
      <c r="K1" s="2104"/>
      <c r="L1" s="2104"/>
      <c r="M1" s="2104"/>
    </row>
    <row r="2" spans="1:14" s="37" customFormat="1" ht="15" customHeight="1" x14ac:dyDescent="0.25">
      <c r="A2" s="48"/>
      <c r="B2" s="49"/>
      <c r="C2" s="49"/>
      <c r="D2" s="49"/>
      <c r="E2" s="49"/>
      <c r="F2" s="48"/>
      <c r="G2" s="48"/>
      <c r="H2" s="1694" t="s">
        <v>1702</v>
      </c>
      <c r="I2" s="1694"/>
      <c r="J2" s="752" t="s">
        <v>340</v>
      </c>
      <c r="K2" s="752" t="s">
        <v>35</v>
      </c>
      <c r="L2" s="752" t="s">
        <v>314</v>
      </c>
      <c r="M2" s="752" t="s">
        <v>317</v>
      </c>
    </row>
    <row r="3" spans="1:14" s="37" customFormat="1" ht="15" customHeight="1" x14ac:dyDescent="0.25">
      <c r="A3" s="48"/>
      <c r="B3" s="49"/>
      <c r="C3" s="49"/>
      <c r="D3" s="49"/>
      <c r="E3" s="49"/>
      <c r="F3" s="48"/>
      <c r="G3" s="48"/>
      <c r="H3" s="1694"/>
      <c r="I3" s="1694"/>
      <c r="J3" s="752" t="s">
        <v>30</v>
      </c>
      <c r="K3" s="752" t="s">
        <v>248</v>
      </c>
      <c r="L3" s="752" t="s">
        <v>315</v>
      </c>
      <c r="M3" s="752" t="s">
        <v>318</v>
      </c>
    </row>
    <row r="4" spans="1:14" s="37" customFormat="1" ht="15" customHeight="1" x14ac:dyDescent="0.25">
      <c r="A4" s="48"/>
      <c r="B4" s="49"/>
      <c r="C4" s="49"/>
      <c r="D4" s="49"/>
      <c r="E4" s="49"/>
      <c r="F4" s="48"/>
      <c r="G4" s="48"/>
      <c r="H4" s="1695"/>
      <c r="I4" s="1695"/>
      <c r="J4" s="752" t="s">
        <v>32</v>
      </c>
      <c r="K4" s="752" t="s">
        <v>313</v>
      </c>
      <c r="L4" s="752" t="s">
        <v>316</v>
      </c>
      <c r="M4" s="752" t="s">
        <v>319</v>
      </c>
    </row>
    <row r="5" spans="1:14" s="37" customFormat="1" ht="21" customHeight="1" x14ac:dyDescent="0.25">
      <c r="A5" s="1704" t="s">
        <v>2836</v>
      </c>
      <c r="B5" s="1705"/>
      <c r="C5" s="1705"/>
      <c r="D5" s="1705"/>
      <c r="E5" s="1705"/>
      <c r="F5" s="1705"/>
      <c r="G5" s="1705"/>
      <c r="H5" s="1705"/>
      <c r="I5" s="1705"/>
      <c r="J5" s="1705"/>
      <c r="K5" s="1705"/>
      <c r="L5" s="1705"/>
      <c r="M5" s="1706"/>
    </row>
    <row r="6" spans="1:14" s="37" customFormat="1" ht="21" customHeight="1" x14ac:dyDescent="0.25">
      <c r="A6" s="1707"/>
      <c r="B6" s="1708"/>
      <c r="C6" s="1708"/>
      <c r="D6" s="1708"/>
      <c r="E6" s="1708"/>
      <c r="F6" s="1708"/>
      <c r="G6" s="1708"/>
      <c r="H6" s="1708"/>
      <c r="I6" s="1708"/>
      <c r="J6" s="1708"/>
      <c r="K6" s="1708"/>
      <c r="L6" s="1708"/>
      <c r="M6" s="1709"/>
    </row>
    <row r="7" spans="1:14" s="37" customFormat="1" ht="21" customHeight="1" x14ac:dyDescent="0.25">
      <c r="A7" s="1710"/>
      <c r="B7" s="1711"/>
      <c r="C7" s="1711"/>
      <c r="D7" s="1711"/>
      <c r="E7" s="1711"/>
      <c r="F7" s="1711"/>
      <c r="G7" s="1711"/>
      <c r="H7" s="1711"/>
      <c r="I7" s="1711"/>
      <c r="J7" s="1711"/>
      <c r="K7" s="1711"/>
      <c r="L7" s="1711"/>
      <c r="M7" s="1712"/>
    </row>
    <row r="8" spans="1:14" s="37" customFormat="1" ht="12" customHeight="1" x14ac:dyDescent="0.25">
      <c r="A8" s="48"/>
      <c r="B8" s="49"/>
      <c r="C8" s="49"/>
      <c r="D8" s="49"/>
      <c r="E8" s="49"/>
      <c r="F8" s="48"/>
      <c r="G8" s="48"/>
      <c r="H8" s="48"/>
      <c r="I8" s="48"/>
      <c r="J8" s="48"/>
      <c r="K8" s="48"/>
      <c r="L8" s="48"/>
      <c r="M8" s="48"/>
    </row>
    <row r="9" spans="1:14" s="37" customFormat="1" ht="18" customHeight="1" x14ac:dyDescent="0.25">
      <c r="A9" s="2092" t="s">
        <v>95</v>
      </c>
      <c r="B9" s="2092"/>
      <c r="C9" s="2092"/>
      <c r="D9" s="2092"/>
      <c r="E9" s="2092"/>
      <c r="F9" s="2092"/>
      <c r="G9" s="2092"/>
      <c r="H9" s="2092"/>
      <c r="I9" s="2092"/>
      <c r="J9" s="2092"/>
      <c r="K9" s="2092"/>
      <c r="L9" s="2092"/>
      <c r="M9" s="2092"/>
    </row>
    <row r="10" spans="1:14" s="37" customFormat="1" x14ac:dyDescent="0.25">
      <c r="A10" s="48"/>
      <c r="B10" s="49"/>
      <c r="C10" s="49"/>
      <c r="D10" s="49"/>
      <c r="E10" s="49"/>
      <c r="F10" s="48"/>
      <c r="G10" s="48"/>
      <c r="H10" s="48"/>
      <c r="I10" s="48"/>
      <c r="J10" s="48"/>
      <c r="K10" s="48"/>
      <c r="L10" s="48"/>
      <c r="M10" s="48"/>
    </row>
    <row r="11" spans="1:14" s="37" customFormat="1" x14ac:dyDescent="0.25">
      <c r="A11" s="48"/>
      <c r="B11" s="2139" t="s">
        <v>114</v>
      </c>
      <c r="C11" s="2140"/>
      <c r="D11" s="2141" t="s">
        <v>62</v>
      </c>
      <c r="E11" s="2141"/>
      <c r="F11" s="48"/>
      <c r="G11" s="48"/>
      <c r="H11" s="48"/>
      <c r="I11" s="48"/>
      <c r="J11" s="48"/>
      <c r="K11" s="48"/>
      <c r="L11" s="48"/>
      <c r="M11" s="48"/>
    </row>
    <row r="12" spans="1:14" s="37" customFormat="1" x14ac:dyDescent="0.25">
      <c r="A12" s="48"/>
      <c r="B12" s="49"/>
      <c r="C12" s="49"/>
      <c r="D12" s="49"/>
      <c r="E12" s="49"/>
      <c r="F12" s="48"/>
      <c r="G12" s="48"/>
      <c r="H12" s="48"/>
      <c r="I12" s="48"/>
      <c r="J12" s="48"/>
      <c r="K12" s="48"/>
      <c r="L12" s="48"/>
      <c r="M12" s="48"/>
    </row>
    <row r="13" spans="1:14" s="37" customFormat="1" ht="21" customHeight="1" x14ac:dyDescent="0.25">
      <c r="A13" s="48"/>
      <c r="B13" s="2097" t="s">
        <v>96</v>
      </c>
      <c r="C13" s="2098"/>
      <c r="D13" s="2098"/>
      <c r="E13" s="2098"/>
      <c r="F13" s="677" t="s">
        <v>75</v>
      </c>
      <c r="G13" s="677" t="s">
        <v>19</v>
      </c>
      <c r="H13" s="50" t="s">
        <v>151</v>
      </c>
      <c r="I13" s="48"/>
      <c r="J13" s="48"/>
      <c r="K13" s="48"/>
      <c r="L13" s="48"/>
      <c r="M13" s="48"/>
    </row>
    <row r="14" spans="1:14" s="37" customFormat="1" ht="27" customHeight="1" x14ac:dyDescent="0.25">
      <c r="A14" s="48"/>
      <c r="B14" s="2105" t="s">
        <v>461</v>
      </c>
      <c r="C14" s="2106"/>
      <c r="D14" s="2106"/>
      <c r="E14" s="2107"/>
      <c r="F14" s="320">
        <v>1</v>
      </c>
      <c r="G14" s="320" t="str">
        <f>IF(D11="Option A: Flush-out",C62,"/")</f>
        <v>/</v>
      </c>
      <c r="H14" s="320" t="str">
        <f>IF(D11="Option A: Flush-out",C63,"/")</f>
        <v>/</v>
      </c>
      <c r="I14" s="48"/>
      <c r="J14" s="48"/>
      <c r="K14" s="48"/>
      <c r="L14" s="48"/>
      <c r="M14" s="48"/>
    </row>
    <row r="15" spans="1:14" s="37" customFormat="1" ht="27" customHeight="1" x14ac:dyDescent="0.25">
      <c r="A15" s="48"/>
      <c r="B15" s="2105" t="s">
        <v>2020</v>
      </c>
      <c r="C15" s="2106"/>
      <c r="D15" s="2106"/>
      <c r="E15" s="2107"/>
      <c r="F15" s="320">
        <v>1</v>
      </c>
      <c r="G15" s="320" t="str">
        <f>IF(D11="Option B: Clean air supply ductwork",C88,"/")</f>
        <v>/</v>
      </c>
      <c r="H15" s="320" t="str">
        <f>IF(D11="Option B: Clean air supply ductwork",C89,"/")</f>
        <v>/</v>
      </c>
      <c r="I15" s="48"/>
      <c r="J15" s="48"/>
      <c r="K15" s="48"/>
      <c r="L15" s="48"/>
      <c r="M15" s="48"/>
      <c r="N15" s="37">
        <f>IF(D11="Option B: Clean air supply ductwork",C88,IF(D11="Option A: Flush-out",C62,0))</f>
        <v>0</v>
      </c>
    </row>
    <row r="16" spans="1:14" s="37" customFormat="1" ht="18" customHeight="1" x14ac:dyDescent="0.25">
      <c r="A16" s="48"/>
      <c r="B16" s="49"/>
      <c r="C16" s="49"/>
      <c r="D16" s="49"/>
      <c r="E16" s="49"/>
      <c r="F16" s="48"/>
      <c r="G16" s="48"/>
      <c r="H16" s="48"/>
      <c r="I16" s="48"/>
      <c r="J16" s="48"/>
      <c r="K16" s="48"/>
      <c r="L16" s="48"/>
      <c r="M16" s="48"/>
    </row>
    <row r="17" spans="1:13" s="37" customFormat="1" ht="18" customHeight="1" x14ac:dyDescent="0.25">
      <c r="A17" s="2092" t="s">
        <v>462</v>
      </c>
      <c r="B17" s="2092"/>
      <c r="C17" s="2092"/>
      <c r="D17" s="2092"/>
      <c r="E17" s="2092"/>
      <c r="F17" s="2092"/>
      <c r="G17" s="2092"/>
      <c r="H17" s="2092"/>
      <c r="I17" s="2092"/>
      <c r="J17" s="2092"/>
      <c r="K17" s="2092"/>
      <c r="L17" s="2092"/>
      <c r="M17" s="2092"/>
    </row>
    <row r="18" spans="1:13" s="37" customFormat="1" x14ac:dyDescent="0.25">
      <c r="A18" s="123"/>
      <c r="B18" s="127"/>
      <c r="C18" s="127"/>
      <c r="D18" s="127"/>
      <c r="E18" s="127"/>
      <c r="F18" s="123"/>
      <c r="G18" s="123"/>
      <c r="H18" s="123"/>
      <c r="I18" s="123"/>
      <c r="J18" s="123"/>
      <c r="K18" s="123"/>
      <c r="L18" s="123"/>
      <c r="M18" s="123"/>
    </row>
    <row r="19" spans="1:13" s="37" customFormat="1" ht="16.5" customHeight="1" x14ac:dyDescent="0.25">
      <c r="A19" s="180" t="s">
        <v>117</v>
      </c>
      <c r="B19" s="45"/>
      <c r="C19" s="45"/>
      <c r="D19" s="127"/>
      <c r="E19" s="127"/>
      <c r="F19" s="127"/>
      <c r="G19" s="127"/>
      <c r="H19" s="127"/>
      <c r="I19" s="127"/>
      <c r="J19" s="127"/>
      <c r="K19" s="127"/>
      <c r="L19" s="127"/>
      <c r="M19" s="127"/>
    </row>
    <row r="20" spans="1:13" s="37" customFormat="1" ht="12" customHeight="1" x14ac:dyDescent="0.25">
      <c r="A20" s="127"/>
      <c r="B20" s="127"/>
      <c r="C20" s="127"/>
      <c r="D20" s="127"/>
      <c r="E20" s="127"/>
      <c r="F20" s="127"/>
      <c r="G20" s="127"/>
      <c r="H20" s="127"/>
      <c r="I20" s="127"/>
      <c r="J20" s="127"/>
      <c r="K20" s="127"/>
      <c r="L20" s="127"/>
      <c r="M20" s="127"/>
    </row>
    <row r="21" spans="1:13" s="37" customFormat="1" x14ac:dyDescent="0.25">
      <c r="A21" s="127"/>
      <c r="B21" s="717" t="s">
        <v>563</v>
      </c>
      <c r="C21" s="127"/>
      <c r="D21" s="127"/>
      <c r="E21" s="127"/>
      <c r="F21" s="127"/>
      <c r="G21" s="127"/>
      <c r="H21" s="127"/>
      <c r="I21" s="127"/>
      <c r="J21" s="127"/>
      <c r="K21" s="127"/>
      <c r="L21" s="127"/>
      <c r="M21" s="127"/>
    </row>
    <row r="22" spans="1:13" s="37" customFormat="1" ht="13.5" customHeight="1" x14ac:dyDescent="0.25">
      <c r="A22" s="127"/>
      <c r="B22" s="127"/>
      <c r="C22" s="127"/>
      <c r="D22" s="127"/>
      <c r="E22" s="127"/>
      <c r="F22" s="127"/>
      <c r="G22" s="127"/>
      <c r="H22" s="127"/>
      <c r="I22" s="127"/>
      <c r="J22" s="127"/>
      <c r="K22" s="127"/>
      <c r="L22" s="127"/>
      <c r="M22" s="127"/>
    </row>
    <row r="23" spans="1:13" s="37" customFormat="1" ht="15" customHeight="1" x14ac:dyDescent="0.25">
      <c r="A23" s="127"/>
      <c r="B23" s="559" t="s">
        <v>2019</v>
      </c>
      <c r="C23" s="639"/>
      <c r="D23" s="639"/>
      <c r="E23" s="639"/>
      <c r="F23" s="639"/>
      <c r="G23" s="639"/>
      <c r="H23" s="639"/>
      <c r="I23" s="639"/>
      <c r="J23" s="639"/>
      <c r="K23" s="640"/>
      <c r="L23" s="127"/>
      <c r="M23" s="127"/>
    </row>
    <row r="24" spans="1:13" s="37" customFormat="1" x14ac:dyDescent="0.25">
      <c r="A24" s="127"/>
      <c r="B24" s="560" t="s">
        <v>1013</v>
      </c>
      <c r="C24" s="641"/>
      <c r="D24" s="641"/>
      <c r="E24" s="641"/>
      <c r="F24" s="641"/>
      <c r="G24" s="641"/>
      <c r="H24" s="641"/>
      <c r="I24" s="641"/>
      <c r="J24" s="641"/>
      <c r="K24" s="642"/>
      <c r="L24" s="127"/>
      <c r="M24" s="127"/>
    </row>
    <row r="25" spans="1:13" s="37" customFormat="1" x14ac:dyDescent="0.25">
      <c r="A25" s="127"/>
      <c r="B25" s="627" t="s">
        <v>1010</v>
      </c>
      <c r="C25" s="631"/>
      <c r="D25" s="631"/>
      <c r="E25" s="631"/>
      <c r="F25" s="631"/>
      <c r="G25" s="631"/>
      <c r="H25" s="631"/>
      <c r="I25" s="631"/>
      <c r="J25" s="631"/>
      <c r="K25" s="632"/>
      <c r="L25" s="127"/>
      <c r="M25" s="127"/>
    </row>
    <row r="26" spans="1:13" s="37" customFormat="1" x14ac:dyDescent="0.25">
      <c r="A26" s="127"/>
      <c r="B26" s="638" t="s">
        <v>1011</v>
      </c>
      <c r="C26" s="598"/>
      <c r="D26" s="598"/>
      <c r="E26" s="598"/>
      <c r="F26" s="598"/>
      <c r="G26" s="598"/>
      <c r="H26" s="598"/>
      <c r="I26" s="598"/>
      <c r="J26" s="598"/>
      <c r="K26" s="585"/>
      <c r="L26" s="127"/>
      <c r="M26" s="127"/>
    </row>
    <row r="27" spans="1:13" s="37" customFormat="1" x14ac:dyDescent="0.25">
      <c r="A27" s="127"/>
      <c r="B27" s="628" t="s">
        <v>564</v>
      </c>
      <c r="C27" s="598"/>
      <c r="D27" s="598"/>
      <c r="E27" s="598"/>
      <c r="F27" s="598"/>
      <c r="G27" s="598"/>
      <c r="H27" s="598"/>
      <c r="I27" s="598"/>
      <c r="J27" s="598"/>
      <c r="K27" s="585"/>
      <c r="L27" s="127"/>
      <c r="M27" s="127"/>
    </row>
    <row r="28" spans="1:13" s="37" customFormat="1" ht="15" customHeight="1" x14ac:dyDescent="0.25">
      <c r="A28" s="127"/>
      <c r="B28" s="638" t="s">
        <v>1012</v>
      </c>
      <c r="C28" s="598"/>
      <c r="D28" s="598"/>
      <c r="E28" s="598"/>
      <c r="F28" s="598"/>
      <c r="G28" s="598"/>
      <c r="H28" s="598"/>
      <c r="I28" s="598"/>
      <c r="J28" s="598"/>
      <c r="K28" s="585"/>
      <c r="L28" s="127"/>
      <c r="M28" s="127"/>
    </row>
    <row r="29" spans="1:13" s="37" customFormat="1" ht="21" customHeight="1" x14ac:dyDescent="0.25">
      <c r="A29" s="127"/>
      <c r="B29" s="2144" t="s">
        <v>1061</v>
      </c>
      <c r="C29" s="2145"/>
      <c r="D29" s="2145"/>
      <c r="E29" s="2145"/>
      <c r="F29" s="2145"/>
      <c r="G29" s="2145"/>
      <c r="H29" s="2145"/>
      <c r="I29" s="2145"/>
      <c r="J29" s="2145"/>
      <c r="K29" s="2146"/>
      <c r="L29" s="127"/>
      <c r="M29" s="127"/>
    </row>
    <row r="30" spans="1:13" s="37" customFormat="1" ht="21" customHeight="1" x14ac:dyDescent="0.25">
      <c r="A30" s="127"/>
      <c r="B30" s="2147"/>
      <c r="C30" s="2148"/>
      <c r="D30" s="2148"/>
      <c r="E30" s="2148"/>
      <c r="F30" s="2148"/>
      <c r="G30" s="2148"/>
      <c r="H30" s="2148"/>
      <c r="I30" s="2148"/>
      <c r="J30" s="2148"/>
      <c r="K30" s="2149"/>
      <c r="L30" s="127"/>
      <c r="M30" s="127"/>
    </row>
    <row r="31" spans="1:13" s="37" customFormat="1" ht="15" customHeight="1" x14ac:dyDescent="0.25">
      <c r="A31" s="127"/>
      <c r="B31" s="127"/>
      <c r="C31" s="127"/>
      <c r="D31" s="127"/>
      <c r="E31" s="127"/>
      <c r="F31" s="127"/>
      <c r="G31" s="127"/>
      <c r="H31" s="127"/>
      <c r="I31" s="127"/>
      <c r="J31" s="127"/>
      <c r="K31" s="127"/>
      <c r="L31" s="127"/>
      <c r="M31" s="127"/>
    </row>
    <row r="32" spans="1:13" s="37" customFormat="1" ht="15" customHeight="1" x14ac:dyDescent="0.25">
      <c r="A32" s="127"/>
      <c r="B32" s="1046" t="s">
        <v>567</v>
      </c>
      <c r="C32" s="127"/>
      <c r="D32" s="127"/>
      <c r="E32" s="127"/>
      <c r="F32" s="127"/>
      <c r="G32" s="127"/>
      <c r="H32" s="127"/>
      <c r="I32" s="127"/>
      <c r="J32" s="127"/>
      <c r="K32" s="127"/>
      <c r="L32" s="127"/>
      <c r="M32" s="127"/>
    </row>
    <row r="33" spans="1:13" s="37" customFormat="1" ht="15" customHeight="1" x14ac:dyDescent="0.25">
      <c r="A33" s="127"/>
      <c r="B33" s="127"/>
      <c r="C33" s="127"/>
      <c r="D33" s="127"/>
      <c r="E33" s="127"/>
      <c r="F33" s="127"/>
      <c r="G33" s="127"/>
      <c r="H33" s="127"/>
      <c r="I33" s="127"/>
      <c r="J33" s="127"/>
      <c r="K33" s="127"/>
      <c r="L33" s="127"/>
      <c r="M33" s="127"/>
    </row>
    <row r="34" spans="1:13" s="37" customFormat="1" ht="16.5" customHeight="1" x14ac:dyDescent="0.25">
      <c r="A34" s="180" t="s">
        <v>9</v>
      </c>
      <c r="B34" s="45"/>
      <c r="C34" s="45"/>
      <c r="D34" s="127"/>
      <c r="E34" s="127"/>
      <c r="F34" s="127"/>
      <c r="G34" s="127"/>
      <c r="H34" s="127"/>
      <c r="I34" s="127"/>
      <c r="J34" s="127"/>
      <c r="K34" s="127"/>
      <c r="L34" s="127"/>
      <c r="M34" s="127"/>
    </row>
    <row r="35" spans="1:13" s="37" customFormat="1" x14ac:dyDescent="0.25">
      <c r="A35" s="127"/>
      <c r="B35" s="127"/>
      <c r="C35" s="127"/>
      <c r="D35" s="127"/>
      <c r="E35" s="127"/>
      <c r="F35" s="127"/>
      <c r="G35" s="127"/>
      <c r="H35" s="127"/>
      <c r="I35" s="127"/>
      <c r="J35" s="127"/>
      <c r="K35" s="127"/>
      <c r="L35" s="127"/>
      <c r="M35" s="127"/>
    </row>
    <row r="36" spans="1:13" s="37" customFormat="1" x14ac:dyDescent="0.25">
      <c r="A36" s="127"/>
      <c r="B36" s="2143" t="s">
        <v>1014</v>
      </c>
      <c r="C36" s="2143"/>
      <c r="D36" s="2143"/>
      <c r="E36" s="2143"/>
      <c r="F36" s="2143"/>
      <c r="G36" s="127"/>
      <c r="H36" s="127"/>
      <c r="I36" s="127"/>
      <c r="J36" s="127"/>
      <c r="K36" s="127"/>
      <c r="L36" s="127"/>
      <c r="M36" s="127"/>
    </row>
    <row r="37" spans="1:13" s="37" customFormat="1" x14ac:dyDescent="0.25">
      <c r="A37" s="127"/>
      <c r="B37" s="127"/>
      <c r="C37" s="127"/>
      <c r="D37" s="127"/>
      <c r="E37" s="127"/>
      <c r="F37" s="127"/>
      <c r="G37" s="127"/>
      <c r="H37" s="127"/>
      <c r="I37" s="127"/>
      <c r="J37" s="127"/>
      <c r="K37" s="127"/>
      <c r="L37" s="127"/>
      <c r="M37" s="127"/>
    </row>
    <row r="38" spans="1:13" s="37" customFormat="1" x14ac:dyDescent="0.25">
      <c r="A38" s="127"/>
      <c r="B38" s="2137" t="s">
        <v>565</v>
      </c>
      <c r="C38" s="2138"/>
      <c r="D38" s="2142" t="s">
        <v>62</v>
      </c>
      <c r="E38" s="2142"/>
      <c r="F38" s="127"/>
      <c r="G38" s="127"/>
      <c r="H38" s="127"/>
      <c r="I38" s="127"/>
      <c r="J38" s="127"/>
      <c r="K38" s="127"/>
      <c r="L38" s="127"/>
      <c r="M38" s="127"/>
    </row>
    <row r="39" spans="1:13" s="37" customFormat="1" x14ac:dyDescent="0.25">
      <c r="A39" s="127"/>
      <c r="B39" s="127"/>
      <c r="C39" s="127"/>
      <c r="D39" s="127"/>
      <c r="E39" s="127"/>
      <c r="F39" s="127"/>
      <c r="G39" s="127"/>
      <c r="H39" s="127"/>
      <c r="I39" s="127"/>
      <c r="J39" s="127"/>
      <c r="K39" s="127"/>
      <c r="L39" s="127"/>
      <c r="M39" s="127"/>
    </row>
    <row r="40" spans="1:13" s="37" customFormat="1" x14ac:dyDescent="0.25">
      <c r="A40" s="127"/>
      <c r="B40" s="2135" t="s">
        <v>569</v>
      </c>
      <c r="C40" s="2135"/>
      <c r="D40" s="396"/>
      <c r="E40" s="127"/>
      <c r="F40" s="127"/>
      <c r="G40" s="127"/>
      <c r="H40" s="127"/>
      <c r="I40" s="127"/>
      <c r="J40" s="127"/>
      <c r="K40" s="127"/>
      <c r="L40" s="127"/>
      <c r="M40" s="127"/>
    </row>
    <row r="41" spans="1:13" s="37" customFormat="1" x14ac:dyDescent="0.25">
      <c r="A41" s="127"/>
      <c r="B41" s="2135" t="s">
        <v>1060</v>
      </c>
      <c r="C41" s="2135"/>
      <c r="D41" s="396"/>
      <c r="E41" s="127"/>
      <c r="F41" s="127"/>
      <c r="G41" s="127"/>
      <c r="H41" s="127"/>
      <c r="I41" s="127"/>
      <c r="J41" s="127"/>
      <c r="K41" s="127"/>
      <c r="L41" s="127"/>
      <c r="M41" s="127"/>
    </row>
    <row r="42" spans="1:13" s="37" customFormat="1" x14ac:dyDescent="0.25">
      <c r="A42" s="127"/>
      <c r="B42" s="2135" t="s">
        <v>568</v>
      </c>
      <c r="C42" s="2135"/>
      <c r="D42" s="396"/>
      <c r="E42" s="127"/>
      <c r="F42" s="127"/>
      <c r="G42" s="127"/>
      <c r="H42" s="127"/>
      <c r="I42" s="127"/>
      <c r="J42" s="127"/>
      <c r="K42" s="127"/>
      <c r="L42" s="127"/>
      <c r="M42" s="127"/>
    </row>
    <row r="43" spans="1:13" s="37" customFormat="1" x14ac:dyDescent="0.25">
      <c r="A43" s="127"/>
      <c r="B43" s="127"/>
      <c r="C43" s="127"/>
      <c r="D43" s="127"/>
      <c r="E43" s="127"/>
      <c r="F43" s="127"/>
      <c r="G43" s="127"/>
      <c r="H43" s="127"/>
      <c r="I43" s="127"/>
      <c r="J43" s="127"/>
      <c r="K43" s="127"/>
      <c r="L43" s="127"/>
      <c r="M43" s="127"/>
    </row>
    <row r="44" spans="1:13" s="37" customFormat="1" ht="16.5" customHeight="1" x14ac:dyDescent="0.25">
      <c r="A44" s="127"/>
      <c r="B44" s="2131" t="s">
        <v>771</v>
      </c>
      <c r="C44" s="2132"/>
      <c r="D44" s="2133"/>
      <c r="E44" s="400" t="str">
        <f>IFERROR(D40/1000/D41/D42*3600*24*14,"")</f>
        <v/>
      </c>
      <c r="F44" s="127"/>
      <c r="G44" s="127"/>
      <c r="H44" s="127"/>
      <c r="I44" s="127"/>
      <c r="J44" s="127"/>
      <c r="K44" s="127"/>
      <c r="L44" s="127"/>
      <c r="M44" s="127"/>
    </row>
    <row r="45" spans="1:13" s="37" customFormat="1" x14ac:dyDescent="0.25">
      <c r="A45" s="127"/>
      <c r="B45" s="127"/>
      <c r="C45" s="127"/>
      <c r="D45" s="127"/>
      <c r="E45" s="127"/>
      <c r="F45" s="127"/>
      <c r="G45" s="127"/>
      <c r="H45" s="127"/>
      <c r="I45" s="127"/>
      <c r="J45" s="127"/>
      <c r="K45" s="127"/>
      <c r="L45" s="127"/>
      <c r="M45" s="127"/>
    </row>
    <row r="46" spans="1:13" s="37" customFormat="1" x14ac:dyDescent="0.25">
      <c r="A46" s="127"/>
      <c r="B46" s="2131" t="s">
        <v>1065</v>
      </c>
      <c r="C46" s="2132"/>
      <c r="D46" s="2133"/>
      <c r="E46" s="684"/>
      <c r="F46" s="127"/>
      <c r="G46" s="127"/>
      <c r="H46" s="127"/>
      <c r="I46" s="127"/>
      <c r="J46" s="127"/>
      <c r="K46" s="127"/>
      <c r="L46" s="127"/>
      <c r="M46" s="127"/>
    </row>
    <row r="47" spans="1:13" s="37" customFormat="1" ht="18" customHeight="1" x14ac:dyDescent="0.25">
      <c r="A47" s="127"/>
      <c r="B47" s="2131" t="s">
        <v>1062</v>
      </c>
      <c r="C47" s="2132"/>
      <c r="D47" s="2133"/>
      <c r="E47" s="455"/>
      <c r="F47" s="127"/>
      <c r="G47" s="127"/>
      <c r="H47" s="127"/>
      <c r="I47" s="127"/>
      <c r="J47" s="127"/>
      <c r="K47" s="127"/>
      <c r="L47" s="127"/>
      <c r="M47" s="127"/>
    </row>
    <row r="48" spans="1:13" s="37" customFormat="1" ht="13.5" customHeight="1" x14ac:dyDescent="0.25">
      <c r="A48" s="127"/>
      <c r="B48" s="127"/>
      <c r="C48" s="127"/>
      <c r="D48" s="127"/>
      <c r="E48" s="127"/>
      <c r="F48" s="127"/>
      <c r="G48" s="127" t="s">
        <v>1063</v>
      </c>
      <c r="H48" s="127"/>
      <c r="I48" s="127"/>
      <c r="J48" s="127"/>
      <c r="K48" s="127"/>
      <c r="L48" s="127"/>
      <c r="M48" s="127"/>
    </row>
    <row r="49" spans="1:14" s="37" customFormat="1" ht="18" customHeight="1" x14ac:dyDescent="0.25">
      <c r="A49" s="127"/>
      <c r="B49" s="1644" t="str">
        <f>IF('Project information'!$C$7="Full Certification stage","• Has the flush-out been performed continuously?","• Will the flush-out be performed continuously?")</f>
        <v>• Will the flush-out be performed continuously?</v>
      </c>
      <c r="C49" s="1645"/>
      <c r="D49" s="1646"/>
      <c r="E49" s="684" t="s">
        <v>62</v>
      </c>
      <c r="F49" s="127"/>
      <c r="G49" s="2131" t="s">
        <v>1064</v>
      </c>
      <c r="H49" s="2132"/>
      <c r="I49" s="684"/>
      <c r="J49" s="127"/>
      <c r="K49" s="127"/>
      <c r="L49" s="127"/>
      <c r="M49" s="127"/>
      <c r="N49" s="57"/>
    </row>
    <row r="50" spans="1:14" s="37" customFormat="1" ht="12" customHeight="1" x14ac:dyDescent="0.25">
      <c r="A50" s="127"/>
      <c r="B50" s="127"/>
      <c r="C50" s="127"/>
      <c r="D50" s="127"/>
      <c r="E50" s="127"/>
      <c r="F50" s="127"/>
      <c r="G50" s="127"/>
      <c r="H50" s="127"/>
      <c r="I50" s="127"/>
      <c r="J50" s="127"/>
      <c r="K50" s="127"/>
      <c r="L50" s="127"/>
      <c r="M50" s="127"/>
    </row>
    <row r="51" spans="1:14" s="37" customFormat="1" ht="12" customHeight="1" x14ac:dyDescent="0.25">
      <c r="A51" s="127"/>
      <c r="B51" s="127"/>
      <c r="C51" s="127"/>
      <c r="D51" s="127"/>
      <c r="E51" s="127"/>
      <c r="F51" s="127"/>
      <c r="G51" s="127"/>
      <c r="H51" s="127"/>
      <c r="I51" s="127"/>
      <c r="J51" s="127"/>
      <c r="K51" s="127"/>
      <c r="L51" s="127"/>
      <c r="M51" s="127"/>
    </row>
    <row r="52" spans="1:14" s="37" customFormat="1" ht="18" customHeight="1" x14ac:dyDescent="0.25">
      <c r="A52" s="127"/>
      <c r="B52" s="2102" t="s">
        <v>463</v>
      </c>
      <c r="C52" s="2102"/>
      <c r="D52" s="70" t="str">
        <f>IF(E49="Yes",IF(D38="Select","No",IF(D38="Pre-occupancy flush-out",IF(AND(E46&lt;&gt;"",E47&lt;&gt;"",E46&gt;=D40,E47&gt;=E44),"Yes","No"),IF(AND(E46&gt;=D40,I49&gt;=D40,I49&gt;=D41*1.5,E47&gt;=(E44/2)),"Yes","No"))),"No")</f>
        <v>No</v>
      </c>
      <c r="E52" s="127"/>
      <c r="F52" s="127"/>
      <c r="G52" s="127"/>
      <c r="H52" s="127"/>
      <c r="I52" s="127"/>
      <c r="J52" s="127"/>
      <c r="K52" s="127"/>
      <c r="L52" s="127"/>
      <c r="M52" s="127"/>
    </row>
    <row r="53" spans="1:14" s="37" customFormat="1" ht="18" customHeight="1" x14ac:dyDescent="0.25">
      <c r="A53" s="127"/>
      <c r="B53" s="127"/>
      <c r="C53" s="127"/>
      <c r="D53" s="127"/>
      <c r="E53" s="127"/>
      <c r="F53" s="127"/>
      <c r="G53" s="127"/>
      <c r="H53" s="127"/>
      <c r="I53" s="127"/>
      <c r="J53" s="127"/>
      <c r="K53" s="127"/>
      <c r="L53" s="127"/>
      <c r="M53" s="127"/>
    </row>
    <row r="54" spans="1:14" s="37" customFormat="1" ht="16.5" customHeight="1" x14ac:dyDescent="0.25">
      <c r="A54" s="180" t="s">
        <v>97</v>
      </c>
      <c r="B54" s="45"/>
      <c r="C54" s="45"/>
      <c r="D54" s="127"/>
      <c r="E54" s="127"/>
      <c r="F54" s="127"/>
      <c r="G54" s="127"/>
      <c r="H54" s="127"/>
      <c r="I54" s="127"/>
      <c r="J54" s="127"/>
      <c r="K54" s="127"/>
      <c r="L54" s="127"/>
      <c r="M54" s="127"/>
    </row>
    <row r="55" spans="1:14" s="37" customFormat="1" x14ac:dyDescent="0.25">
      <c r="A55" s="127"/>
      <c r="B55" s="127"/>
      <c r="C55" s="127"/>
      <c r="D55" s="127"/>
      <c r="E55" s="127"/>
      <c r="F55" s="127"/>
      <c r="G55" s="127"/>
      <c r="H55" s="127"/>
      <c r="I55" s="127"/>
      <c r="J55" s="127"/>
      <c r="K55" s="127"/>
      <c r="L55" s="127"/>
      <c r="M55" s="127"/>
    </row>
    <row r="56" spans="1:14" s="37" customFormat="1" ht="21" customHeight="1" x14ac:dyDescent="0.25">
      <c r="A56" s="127"/>
      <c r="B56" s="2093" t="s">
        <v>98</v>
      </c>
      <c r="C56" s="2094"/>
      <c r="D56" s="2094"/>
      <c r="E56" s="2094"/>
      <c r="F56" s="2094"/>
      <c r="G56" s="256" t="s">
        <v>1297</v>
      </c>
      <c r="H56" s="2095" t="s">
        <v>1298</v>
      </c>
      <c r="I56" s="2095"/>
      <c r="J56" s="127"/>
      <c r="K56" s="127"/>
      <c r="L56" s="127"/>
      <c r="M56" s="127"/>
    </row>
    <row r="57" spans="1:14" s="37" customFormat="1" ht="30" customHeight="1" x14ac:dyDescent="0.25">
      <c r="A57" s="127"/>
      <c r="B57" s="1644" t="str">
        <f>Submittals!H99</f>
        <v>Select the Submission Stage in Project Information</v>
      </c>
      <c r="C57" s="1645"/>
      <c r="D57" s="1645"/>
      <c r="E57" s="1645"/>
      <c r="F57" s="1645"/>
      <c r="G57" s="810" t="s">
        <v>62</v>
      </c>
      <c r="H57" s="1625"/>
      <c r="I57" s="1626"/>
      <c r="J57" s="127"/>
      <c r="K57" s="127"/>
      <c r="L57" s="127"/>
      <c r="M57" s="127"/>
      <c r="N57" s="37" t="str">
        <f>IF(OR(B57="/",B57="No evidence required at this submission stage"),"Yes",IF(G57="Submitted","Yes","No"))</f>
        <v>No</v>
      </c>
    </row>
    <row r="58" spans="1:14" s="37" customFormat="1" ht="27" hidden="1" customHeight="1" x14ac:dyDescent="0.25">
      <c r="A58" s="127"/>
      <c r="B58" s="1644" t="e">
        <f>Submittals!#REF!</f>
        <v>#REF!</v>
      </c>
      <c r="C58" s="1645"/>
      <c r="D58" s="1645"/>
      <c r="E58" s="1645"/>
      <c r="F58" s="1645"/>
      <c r="G58" s="810" t="s">
        <v>62</v>
      </c>
      <c r="H58" s="1625"/>
      <c r="I58" s="1626"/>
      <c r="J58" s="127"/>
      <c r="K58" s="127"/>
      <c r="L58" s="127"/>
      <c r="M58" s="127"/>
      <c r="N58" s="37" t="e">
        <f>IF(OR(B58="/",B58="No evidence required at this submission stage"),"Yes",IF(G58="Submitted","Yes","No"))</f>
        <v>#REF!</v>
      </c>
    </row>
    <row r="59" spans="1:14" s="37" customFormat="1" ht="19.5" customHeight="1" x14ac:dyDescent="0.25">
      <c r="A59" s="127"/>
      <c r="B59" s="127"/>
      <c r="C59" s="127"/>
      <c r="D59" s="127"/>
      <c r="E59" s="127"/>
      <c r="F59" s="127"/>
      <c r="G59" s="127"/>
      <c r="H59" s="127"/>
      <c r="I59" s="127"/>
      <c r="J59" s="127"/>
      <c r="K59" s="127"/>
      <c r="L59" s="127"/>
      <c r="M59" s="127"/>
    </row>
    <row r="60" spans="1:14" s="37" customFormat="1" ht="16.5" customHeight="1" x14ac:dyDescent="0.25">
      <c r="A60" s="151" t="s">
        <v>8</v>
      </c>
      <c r="B60" s="45"/>
      <c r="C60" s="45"/>
      <c r="D60" s="127"/>
      <c r="E60" s="127"/>
      <c r="F60" s="127"/>
      <c r="G60" s="127"/>
      <c r="H60" s="127"/>
      <c r="I60" s="127"/>
      <c r="J60" s="127"/>
      <c r="K60" s="127"/>
      <c r="L60" s="127"/>
      <c r="M60" s="127"/>
    </row>
    <row r="61" spans="1:14" s="37" customFormat="1" x14ac:dyDescent="0.25">
      <c r="A61" s="127"/>
      <c r="B61" s="127"/>
      <c r="C61" s="127"/>
      <c r="D61" s="127"/>
      <c r="E61" s="127"/>
      <c r="F61" s="127"/>
      <c r="G61" s="127"/>
      <c r="H61" s="127"/>
      <c r="I61" s="127"/>
      <c r="J61" s="127"/>
      <c r="K61" s="127"/>
      <c r="L61" s="127"/>
      <c r="M61" s="127"/>
    </row>
    <row r="62" spans="1:14" s="37" customFormat="1" ht="18" customHeight="1" x14ac:dyDescent="0.25">
      <c r="A62" s="127"/>
      <c r="B62" s="115" t="s">
        <v>19</v>
      </c>
      <c r="C62" s="116">
        <f>IF(D52="Yes",1,0)</f>
        <v>0</v>
      </c>
      <c r="D62" s="127"/>
      <c r="E62" s="127"/>
      <c r="F62" s="127"/>
      <c r="G62" s="127"/>
      <c r="H62" s="127"/>
      <c r="I62" s="127"/>
      <c r="J62" s="127"/>
      <c r="K62" s="127"/>
      <c r="L62" s="127"/>
      <c r="M62" s="127"/>
    </row>
    <row r="63" spans="1:14" s="37" customFormat="1" ht="18" customHeight="1" x14ac:dyDescent="0.25">
      <c r="A63" s="127"/>
      <c r="B63" s="117" t="s">
        <v>151</v>
      </c>
      <c r="C63" s="7" t="str">
        <f>IF(AND(COUNTIF(N57:N57,"Yes")=1,C62&gt;0),"Yes","No")</f>
        <v>No</v>
      </c>
      <c r="D63" s="127"/>
      <c r="E63" s="127"/>
      <c r="F63" s="127"/>
      <c r="G63" s="127"/>
      <c r="H63" s="127"/>
      <c r="I63" s="127"/>
      <c r="J63" s="127"/>
      <c r="K63" s="127"/>
      <c r="L63" s="127"/>
      <c r="M63" s="127"/>
    </row>
    <row r="64" spans="1:14" s="37" customFormat="1" ht="22.5" customHeight="1" x14ac:dyDescent="0.25">
      <c r="A64" s="127"/>
      <c r="B64" s="127"/>
      <c r="C64" s="127"/>
      <c r="D64" s="127"/>
      <c r="E64" s="127"/>
      <c r="F64" s="127"/>
      <c r="G64" s="127"/>
      <c r="H64" s="127"/>
      <c r="I64" s="127"/>
      <c r="J64" s="127"/>
      <c r="K64" s="127"/>
      <c r="L64" s="127"/>
      <c r="M64" s="127"/>
    </row>
    <row r="65" spans="1:15" s="37" customFormat="1" ht="18" customHeight="1" x14ac:dyDescent="0.25">
      <c r="A65" s="2092" t="s">
        <v>2021</v>
      </c>
      <c r="B65" s="2092"/>
      <c r="C65" s="2092"/>
      <c r="D65" s="2092"/>
      <c r="E65" s="2092"/>
      <c r="F65" s="2092"/>
      <c r="G65" s="2092"/>
      <c r="H65" s="2092"/>
      <c r="I65" s="2092"/>
      <c r="J65" s="2092"/>
      <c r="K65" s="2092"/>
      <c r="L65" s="2092"/>
      <c r="M65" s="2092"/>
    </row>
    <row r="66" spans="1:15" s="37" customFormat="1" x14ac:dyDescent="0.25">
      <c r="A66" s="365"/>
      <c r="B66" s="366"/>
      <c r="C66" s="366"/>
      <c r="D66" s="366"/>
      <c r="E66" s="366"/>
      <c r="F66" s="365"/>
      <c r="G66" s="365"/>
      <c r="H66" s="365"/>
      <c r="I66" s="365"/>
      <c r="J66" s="365"/>
      <c r="K66" s="365"/>
      <c r="L66" s="365"/>
      <c r="M66" s="365"/>
    </row>
    <row r="67" spans="1:15" s="37" customFormat="1" ht="16.5" customHeight="1" x14ac:dyDescent="0.25">
      <c r="A67" s="180" t="s">
        <v>117</v>
      </c>
      <c r="B67" s="45"/>
      <c r="C67" s="45"/>
      <c r="D67" s="366"/>
      <c r="E67" s="366"/>
      <c r="F67" s="366"/>
      <c r="G67" s="366"/>
      <c r="H67" s="366"/>
      <c r="I67" s="366"/>
      <c r="J67" s="366"/>
      <c r="K67" s="366"/>
      <c r="L67" s="366"/>
      <c r="M67" s="366"/>
    </row>
    <row r="68" spans="1:15" s="37" customFormat="1" x14ac:dyDescent="0.25">
      <c r="A68" s="366"/>
      <c r="B68" s="366"/>
      <c r="C68" s="366"/>
      <c r="D68" s="366"/>
      <c r="E68" s="366"/>
      <c r="F68" s="366"/>
      <c r="G68" s="366"/>
      <c r="H68" s="366"/>
      <c r="I68" s="366"/>
      <c r="J68" s="366"/>
      <c r="K68" s="366"/>
      <c r="L68" s="366"/>
      <c r="M68" s="366"/>
    </row>
    <row r="69" spans="1:15" s="37" customFormat="1" x14ac:dyDescent="0.25">
      <c r="A69" s="366"/>
      <c r="B69" s="673" t="s">
        <v>774</v>
      </c>
      <c r="C69" s="674"/>
      <c r="D69" s="674"/>
      <c r="E69" s="674"/>
      <c r="F69" s="674"/>
      <c r="G69" s="366"/>
      <c r="H69" s="366"/>
      <c r="I69" s="366"/>
      <c r="J69" s="366"/>
      <c r="K69" s="366"/>
      <c r="L69" s="366"/>
      <c r="M69" s="366"/>
    </row>
    <row r="70" spans="1:15" s="37" customFormat="1" x14ac:dyDescent="0.25">
      <c r="A70" s="366"/>
      <c r="B70" s="674"/>
      <c r="C70" s="674"/>
      <c r="D70" s="674"/>
      <c r="E70" s="674"/>
      <c r="F70" s="674"/>
      <c r="G70" s="366"/>
      <c r="H70" s="366"/>
      <c r="I70" s="366"/>
      <c r="J70" s="366"/>
      <c r="K70" s="366"/>
      <c r="L70" s="366"/>
      <c r="M70" s="366"/>
    </row>
    <row r="71" spans="1:15" s="37" customFormat="1" ht="27" customHeight="1" x14ac:dyDescent="0.25">
      <c r="A71" s="366"/>
      <c r="B71" s="673" t="s">
        <v>566</v>
      </c>
      <c r="C71" s="674"/>
      <c r="D71" s="674"/>
      <c r="E71" s="674"/>
      <c r="F71" s="674"/>
      <c r="G71" s="366"/>
      <c r="H71" s="366"/>
      <c r="I71" s="366"/>
      <c r="J71" s="366"/>
      <c r="K71" s="366"/>
      <c r="L71" s="366"/>
      <c r="M71" s="366"/>
    </row>
    <row r="72" spans="1:15" s="37" customFormat="1" x14ac:dyDescent="0.25">
      <c r="A72" s="366"/>
      <c r="B72" s="672"/>
      <c r="C72" s="674"/>
      <c r="D72" s="674"/>
      <c r="E72" s="674"/>
      <c r="F72" s="674"/>
      <c r="G72" s="366"/>
      <c r="H72" s="366"/>
      <c r="I72" s="366"/>
      <c r="J72" s="366"/>
      <c r="K72" s="366"/>
      <c r="L72" s="366"/>
      <c r="M72" s="366"/>
    </row>
    <row r="73" spans="1:15" s="37" customFormat="1" x14ac:dyDescent="0.25">
      <c r="A73" s="366"/>
      <c r="B73" s="2134" t="s">
        <v>1007</v>
      </c>
      <c r="C73" s="2134"/>
      <c r="D73" s="2134"/>
      <c r="E73" s="2134"/>
      <c r="F73" s="2134"/>
      <c r="G73" s="366"/>
      <c r="H73" s="366"/>
      <c r="I73" s="366"/>
      <c r="J73" s="366"/>
      <c r="K73" s="366"/>
      <c r="L73" s="366"/>
      <c r="M73" s="366"/>
    </row>
    <row r="74" spans="1:15" s="37" customFormat="1" ht="11.25" customHeight="1" x14ac:dyDescent="0.25">
      <c r="A74" s="366"/>
      <c r="B74" s="398"/>
      <c r="C74" s="366"/>
      <c r="D74" s="366"/>
      <c r="E74" s="366"/>
      <c r="F74" s="366"/>
      <c r="G74" s="366"/>
      <c r="H74" s="366"/>
      <c r="I74" s="366"/>
      <c r="J74" s="366"/>
      <c r="K74" s="366"/>
      <c r="L74" s="366"/>
      <c r="M74" s="366"/>
    </row>
    <row r="75" spans="1:15" s="37" customFormat="1" ht="18" customHeight="1" x14ac:dyDescent="0.25">
      <c r="A75" s="366"/>
      <c r="B75" s="1644" t="s">
        <v>1212</v>
      </c>
      <c r="C75" s="1645"/>
      <c r="D75" s="1645"/>
      <c r="E75" s="1645"/>
      <c r="F75" s="1646"/>
      <c r="G75" s="725" t="s">
        <v>62</v>
      </c>
      <c r="H75" s="366"/>
      <c r="I75" s="366"/>
      <c r="J75" s="366"/>
      <c r="K75" s="366"/>
      <c r="L75" s="366"/>
      <c r="M75" s="366"/>
      <c r="N75" s="57"/>
      <c r="O75" s="57"/>
    </row>
    <row r="76" spans="1:15" s="37" customFormat="1" ht="18" customHeight="1" x14ac:dyDescent="0.25">
      <c r="A76" s="366"/>
      <c r="B76" s="1644" t="str">
        <f>IF('Project information'!$C$7="Full Certification stage","• Is the ductwork new (i.e. installed as part of or immediately prior project fitout works)?","• Will the ductwork be new (i.e. installed as part of or immediately prior project fitout works)?")</f>
        <v>• Will the ductwork be new (i.e. installed as part of or immediately prior project fitout works)?</v>
      </c>
      <c r="C76" s="1645"/>
      <c r="D76" s="1645"/>
      <c r="E76" s="1645"/>
      <c r="F76" s="1646"/>
      <c r="G76" s="725" t="s">
        <v>62</v>
      </c>
      <c r="H76" s="366"/>
      <c r="I76" s="366"/>
      <c r="J76" s="366"/>
      <c r="K76" s="366"/>
      <c r="L76" s="366"/>
      <c r="M76" s="366"/>
      <c r="N76" s="57"/>
      <c r="O76" s="57"/>
    </row>
    <row r="77" spans="1:15" s="37" customFormat="1" ht="18" customHeight="1" x14ac:dyDescent="0.25">
      <c r="A77" s="366"/>
      <c r="B77" s="1644" t="str">
        <f>IF('Project information'!$C$7="Full Certification stage","• Has all accessible supply air ductwork been cleaned to remove dust, dirt and mould prior to occupancy?","• Will all accessible supply air ductwork be cleaned to remove dust, dirt and mould prior to occupancy?")</f>
        <v>• Will all accessible supply air ductwork be cleaned to remove dust, dirt and mould prior to occupancy?</v>
      </c>
      <c r="C77" s="1645"/>
      <c r="D77" s="1645"/>
      <c r="E77" s="1645"/>
      <c r="F77" s="1646"/>
      <c r="G77" s="725" t="s">
        <v>62</v>
      </c>
      <c r="H77" s="366"/>
      <c r="I77" s="366"/>
      <c r="J77" s="366"/>
      <c r="K77" s="366"/>
      <c r="L77" s="366"/>
      <c r="M77" s="366"/>
      <c r="N77" s="57"/>
      <c r="O77" s="57"/>
    </row>
    <row r="78" spans="1:15" s="37" customFormat="1" x14ac:dyDescent="0.25">
      <c r="A78" s="366"/>
      <c r="B78" s="366"/>
      <c r="C78" s="366"/>
      <c r="D78" s="366"/>
      <c r="E78" s="366"/>
      <c r="F78" s="366"/>
      <c r="G78" s="366"/>
      <c r="H78" s="366"/>
      <c r="I78" s="366"/>
      <c r="J78" s="366"/>
      <c r="K78" s="366"/>
      <c r="L78" s="366"/>
      <c r="M78" s="366"/>
    </row>
    <row r="79" spans="1:15" s="37" customFormat="1" ht="18" customHeight="1" x14ac:dyDescent="0.25">
      <c r="A79" s="366"/>
      <c r="B79" s="2128" t="s">
        <v>775</v>
      </c>
      <c r="C79" s="2129"/>
      <c r="D79" s="2130"/>
      <c r="E79" s="70" t="str">
        <f>IF(OR(G76="Yes",G75="Yes"),"N/A",IF(AND(G75="No",G76="No",G77="Yes"),"Yes","No"))</f>
        <v>No</v>
      </c>
      <c r="F79" s="366"/>
      <c r="G79" s="366"/>
      <c r="H79" s="366"/>
      <c r="I79" s="366"/>
      <c r="J79" s="366"/>
      <c r="K79" s="366"/>
      <c r="L79" s="366"/>
      <c r="M79" s="366"/>
    </row>
    <row r="80" spans="1:15" s="37" customFormat="1" ht="19.5" customHeight="1" x14ac:dyDescent="0.25">
      <c r="A80" s="366"/>
      <c r="B80" s="366"/>
      <c r="C80" s="366"/>
      <c r="D80" s="366"/>
      <c r="E80" s="366"/>
      <c r="F80" s="366"/>
      <c r="G80" s="366"/>
      <c r="H80" s="366"/>
      <c r="I80" s="366"/>
      <c r="J80" s="366"/>
      <c r="K80" s="366"/>
      <c r="L80" s="366"/>
      <c r="M80" s="366"/>
    </row>
    <row r="81" spans="1:14" s="37" customFormat="1" ht="16.5" customHeight="1" x14ac:dyDescent="0.25">
      <c r="A81" s="180" t="s">
        <v>97</v>
      </c>
      <c r="B81" s="45"/>
      <c r="C81" s="45"/>
      <c r="D81" s="366"/>
      <c r="E81" s="366"/>
      <c r="F81" s="366"/>
      <c r="G81" s="366"/>
      <c r="H81" s="366"/>
      <c r="I81" s="366"/>
      <c r="J81" s="366"/>
      <c r="K81" s="366"/>
      <c r="L81" s="366"/>
      <c r="M81" s="366"/>
    </row>
    <row r="82" spans="1:14" s="37" customFormat="1" x14ac:dyDescent="0.25">
      <c r="A82" s="366"/>
      <c r="B82" s="366"/>
      <c r="C82" s="366"/>
      <c r="D82" s="366"/>
      <c r="E82" s="366"/>
      <c r="F82" s="366"/>
      <c r="G82" s="366"/>
      <c r="H82" s="366"/>
      <c r="I82" s="366"/>
      <c r="J82" s="366"/>
      <c r="K82" s="366"/>
      <c r="L82" s="366"/>
      <c r="M82" s="366"/>
    </row>
    <row r="83" spans="1:14" s="37" customFormat="1" ht="21" customHeight="1" x14ac:dyDescent="0.25">
      <c r="A83" s="366"/>
      <c r="B83" s="2093" t="s">
        <v>98</v>
      </c>
      <c r="C83" s="2094"/>
      <c r="D83" s="2094"/>
      <c r="E83" s="2094"/>
      <c r="F83" s="2094"/>
      <c r="G83" s="256" t="s">
        <v>1297</v>
      </c>
      <c r="H83" s="2095" t="s">
        <v>1298</v>
      </c>
      <c r="I83" s="2136"/>
      <c r="J83" s="366"/>
      <c r="K83" s="366"/>
      <c r="L83" s="366"/>
      <c r="M83" s="366"/>
    </row>
    <row r="84" spans="1:14" s="37" customFormat="1" ht="30" customHeight="1" x14ac:dyDescent="0.25">
      <c r="A84" s="366"/>
      <c r="B84" s="1644" t="str">
        <f>Submittals!H100</f>
        <v>Select the Submission Stage in Project Information</v>
      </c>
      <c r="C84" s="1645" t="str">
        <f>Submittals!G100</f>
        <v>• Not available in the draft version of LOTUS Interiors Pilot</v>
      </c>
      <c r="D84" s="1645"/>
      <c r="E84" s="1645"/>
      <c r="F84" s="1645"/>
      <c r="G84" s="810" t="s">
        <v>62</v>
      </c>
      <c r="H84" s="1625"/>
      <c r="I84" s="1626"/>
      <c r="J84" s="955"/>
      <c r="K84" s="366"/>
      <c r="L84" s="366"/>
      <c r="M84" s="366"/>
      <c r="N84" s="37" t="str">
        <f>IF(OR(B84="/",B84="No evidence required at this submission stage"),"Yes",IF(G84="Submitted","Yes","No"))</f>
        <v>No</v>
      </c>
    </row>
    <row r="85" spans="1:14" s="37" customFormat="1" ht="19.5" customHeight="1" x14ac:dyDescent="0.25">
      <c r="A85" s="366"/>
      <c r="B85" s="366"/>
      <c r="C85" s="366"/>
      <c r="D85" s="366"/>
      <c r="E85" s="366"/>
      <c r="F85" s="366"/>
      <c r="G85" s="366"/>
      <c r="H85" s="366"/>
      <c r="I85" s="366"/>
      <c r="J85" s="366"/>
      <c r="K85" s="366"/>
      <c r="L85" s="366"/>
      <c r="M85" s="366"/>
    </row>
    <row r="86" spans="1:14" s="37" customFormat="1" ht="16.5" customHeight="1" x14ac:dyDescent="0.25">
      <c r="A86" s="151" t="s">
        <v>8</v>
      </c>
      <c r="B86" s="45"/>
      <c r="C86" s="45"/>
      <c r="D86" s="366"/>
      <c r="E86" s="366"/>
      <c r="F86" s="366"/>
      <c r="G86" s="366"/>
      <c r="H86" s="366"/>
      <c r="I86" s="366"/>
      <c r="J86" s="366"/>
      <c r="K86" s="366"/>
      <c r="L86" s="366"/>
      <c r="M86" s="366"/>
    </row>
    <row r="87" spans="1:14" s="37" customFormat="1" x14ac:dyDescent="0.25">
      <c r="A87" s="366"/>
      <c r="B87" s="366"/>
      <c r="C87" s="366"/>
      <c r="D87" s="366"/>
      <c r="E87" s="366"/>
      <c r="F87" s="366"/>
      <c r="G87" s="366"/>
      <c r="H87" s="366"/>
      <c r="I87" s="366"/>
      <c r="J87" s="366"/>
      <c r="K87" s="366"/>
      <c r="L87" s="366"/>
      <c r="M87" s="366"/>
    </row>
    <row r="88" spans="1:14" s="37" customFormat="1" ht="18" customHeight="1" x14ac:dyDescent="0.25">
      <c r="A88" s="366"/>
      <c r="B88" s="115" t="s">
        <v>19</v>
      </c>
      <c r="C88" s="116">
        <f>IF(E79="Yes",1,0)</f>
        <v>0</v>
      </c>
      <c r="D88" s="366"/>
      <c r="E88" s="366"/>
      <c r="F88" s="366"/>
      <c r="G88" s="366"/>
      <c r="H88" s="366"/>
      <c r="I88" s="366"/>
      <c r="J88" s="366"/>
      <c r="K88" s="366"/>
      <c r="L88" s="366"/>
      <c r="M88" s="366"/>
    </row>
    <row r="89" spans="1:14" s="37" customFormat="1" ht="18" customHeight="1" x14ac:dyDescent="0.25">
      <c r="A89" s="366"/>
      <c r="B89" s="117" t="s">
        <v>151</v>
      </c>
      <c r="C89" s="118" t="str">
        <f>IF(AND(COUNTIF(N84,"Yes")=1,C88&gt;0),"Yes","No")</f>
        <v>No</v>
      </c>
      <c r="D89" s="366"/>
      <c r="E89" s="366"/>
      <c r="F89" s="366"/>
      <c r="G89" s="366"/>
      <c r="H89" s="366"/>
      <c r="I89" s="366"/>
      <c r="J89" s="366"/>
      <c r="K89" s="366"/>
      <c r="L89" s="366"/>
      <c r="M89" s="366"/>
    </row>
    <row r="90" spans="1:14" s="37" customFormat="1" ht="15" customHeight="1" x14ac:dyDescent="0.25">
      <c r="A90" s="399"/>
      <c r="B90" s="399"/>
      <c r="C90" s="399"/>
      <c r="D90" s="399"/>
      <c r="E90" s="399"/>
      <c r="F90" s="399"/>
      <c r="G90" s="399"/>
      <c r="H90" s="399"/>
      <c r="I90" s="399"/>
      <c r="J90" s="399"/>
      <c r="K90" s="399"/>
      <c r="L90" s="399"/>
      <c r="M90" s="399"/>
    </row>
    <row r="91" spans="1:14" s="37" customFormat="1" ht="15" hidden="1" customHeight="1" x14ac:dyDescent="0.25">
      <c r="A91" s="399"/>
      <c r="B91" s="399"/>
      <c r="C91" s="399"/>
      <c r="D91" s="399"/>
      <c r="E91" s="399"/>
      <c r="F91" s="399"/>
      <c r="G91" s="399"/>
      <c r="H91" s="399"/>
      <c r="I91" s="399"/>
      <c r="J91" s="399"/>
      <c r="K91" s="399"/>
      <c r="L91" s="399"/>
      <c r="M91" s="399"/>
    </row>
    <row r="92" spans="1:14" s="37" customFormat="1" ht="15" hidden="1" customHeight="1" x14ac:dyDescent="0.25"/>
    <row r="93" spans="1:14" s="37" customFormat="1" ht="15" hidden="1" customHeight="1" x14ac:dyDescent="0.25"/>
    <row r="94" spans="1:14" s="37" customFormat="1" ht="15" hidden="1" customHeight="1" x14ac:dyDescent="0.25"/>
    <row r="95" spans="1:14" s="37" customFormat="1" ht="15" hidden="1" customHeight="1" x14ac:dyDescent="0.25"/>
    <row r="96" spans="1:14" s="37" customFormat="1" ht="15" hidden="1" customHeight="1" x14ac:dyDescent="0.25"/>
    <row r="97" s="37" customFormat="1" ht="15" hidden="1" customHeight="1" x14ac:dyDescent="0.25"/>
    <row r="98" s="37" customFormat="1" ht="15" hidden="1" customHeight="1" x14ac:dyDescent="0.25"/>
    <row r="99" s="37" customFormat="1" ht="15" hidden="1" customHeight="1" x14ac:dyDescent="0.25"/>
    <row r="100" s="37" customFormat="1" ht="15" hidden="1" customHeight="1" x14ac:dyDescent="0.25"/>
    <row r="101" s="37" customFormat="1" ht="15" hidden="1" customHeight="1" x14ac:dyDescent="0.25"/>
    <row r="102" s="37" customFormat="1" ht="15" hidden="1" customHeight="1" x14ac:dyDescent="0.25"/>
    <row r="103" s="37" customFormat="1" ht="15" hidden="1" customHeight="1" x14ac:dyDescent="0.25"/>
    <row r="104" s="37" customFormat="1" ht="15" hidden="1" customHeight="1" x14ac:dyDescent="0.25"/>
    <row r="105" s="37" customFormat="1" ht="15" hidden="1" customHeight="1" x14ac:dyDescent="0.25"/>
    <row r="106" s="37" customFormat="1" ht="15" hidden="1" customHeight="1" x14ac:dyDescent="0.25"/>
    <row r="107" s="37" customFormat="1" ht="15" hidden="1" customHeight="1" x14ac:dyDescent="0.25"/>
    <row r="108" s="37" customFormat="1" ht="15" hidden="1" customHeight="1" x14ac:dyDescent="0.25"/>
    <row r="109" s="37" customFormat="1" ht="15" hidden="1" customHeight="1" x14ac:dyDescent="0.25"/>
    <row r="110" s="37" customFormat="1" ht="15" hidden="1" customHeight="1" x14ac:dyDescent="0.25"/>
    <row r="111" s="37" customFormat="1" ht="15" hidden="1" customHeight="1" x14ac:dyDescent="0.25"/>
    <row r="112" s="37" customFormat="1" ht="15" hidden="1" customHeight="1" x14ac:dyDescent="0.25"/>
    <row r="113" s="37" customFormat="1" ht="15" hidden="1" customHeight="1" x14ac:dyDescent="0.25"/>
    <row r="114" s="37" customFormat="1" ht="15" hidden="1" customHeight="1" x14ac:dyDescent="0.25"/>
    <row r="115" s="37" customFormat="1" ht="15" hidden="1" customHeight="1" x14ac:dyDescent="0.25"/>
    <row r="116" s="37" customFormat="1" ht="15" hidden="1" customHeight="1" x14ac:dyDescent="0.25"/>
    <row r="117" s="37" customFormat="1" ht="15" hidden="1" customHeight="1" x14ac:dyDescent="0.25"/>
    <row r="118" s="37" customFormat="1" ht="15" hidden="1" customHeight="1" x14ac:dyDescent="0.25"/>
    <row r="119" s="37" customFormat="1" ht="15" hidden="1" customHeight="1" x14ac:dyDescent="0.25"/>
    <row r="120" s="37" customFormat="1" ht="15" hidden="1" customHeight="1" x14ac:dyDescent="0.25"/>
    <row r="121" s="37" customFormat="1" ht="15" hidden="1" customHeight="1" x14ac:dyDescent="0.25"/>
    <row r="122" s="37" customFormat="1" ht="15" hidden="1" customHeight="1" x14ac:dyDescent="0.25"/>
    <row r="123" s="37" customFormat="1" ht="15" hidden="1" customHeight="1" x14ac:dyDescent="0.25"/>
    <row r="124" s="37" customFormat="1" ht="15" hidden="1" customHeight="1" x14ac:dyDescent="0.25"/>
    <row r="125" s="37" customFormat="1" ht="15" hidden="1" customHeight="1" x14ac:dyDescent="0.25"/>
    <row r="126" s="37" customFormat="1" ht="15" hidden="1" customHeight="1" x14ac:dyDescent="0.25"/>
    <row r="127" s="37" customFormat="1" ht="15" hidden="1" customHeight="1" x14ac:dyDescent="0.25"/>
    <row r="128" s="37" customFormat="1" ht="15" hidden="1" customHeight="1" x14ac:dyDescent="0.25"/>
    <row r="129" s="37" customFormat="1" ht="15" hidden="1" customHeight="1" x14ac:dyDescent="0.25"/>
    <row r="130" s="37" customFormat="1" ht="15" hidden="1" customHeight="1" x14ac:dyDescent="0.25"/>
    <row r="131" s="37" customFormat="1" ht="15" hidden="1" customHeight="1" x14ac:dyDescent="0.25"/>
    <row r="132" s="37" customFormat="1" ht="15" hidden="1" customHeight="1" x14ac:dyDescent="0.25"/>
    <row r="133" s="37" customFormat="1" ht="15" hidden="1" customHeight="1" x14ac:dyDescent="0.25"/>
    <row r="134" s="37" customFormat="1" ht="15" hidden="1" customHeight="1" x14ac:dyDescent="0.25"/>
    <row r="135" s="37" customFormat="1" ht="15" hidden="1" customHeight="1" x14ac:dyDescent="0.25"/>
    <row r="136" s="37" customFormat="1" ht="15" hidden="1" customHeight="1" x14ac:dyDescent="0.25"/>
    <row r="137" s="37" customFormat="1" ht="15" hidden="1" customHeight="1" x14ac:dyDescent="0.25"/>
    <row r="138" s="37" customFormat="1" ht="15" hidden="1" customHeight="1" x14ac:dyDescent="0.25"/>
    <row r="139" s="37" customFormat="1" ht="15" hidden="1" customHeight="1" x14ac:dyDescent="0.25"/>
    <row r="140" s="37" customFormat="1" ht="15" hidden="1" customHeight="1" x14ac:dyDescent="0.25"/>
    <row r="141" s="37" customFormat="1" ht="15" hidden="1" customHeight="1" x14ac:dyDescent="0.25"/>
    <row r="142" s="37" customFormat="1" ht="15" hidden="1" customHeight="1" x14ac:dyDescent="0.25"/>
    <row r="143" s="37" customFormat="1" ht="15" hidden="1" customHeight="1" x14ac:dyDescent="0.25"/>
    <row r="144" s="37" customFormat="1" ht="15" hidden="1" customHeight="1" x14ac:dyDescent="0.25"/>
    <row r="145" s="37" customFormat="1" ht="15" hidden="1" customHeight="1" x14ac:dyDescent="0.25"/>
    <row r="146" s="37" customFormat="1" ht="15" hidden="1" customHeight="1" x14ac:dyDescent="0.25"/>
    <row r="147" s="37" customFormat="1" ht="15" hidden="1" customHeight="1" x14ac:dyDescent="0.25"/>
    <row r="148" s="37" customFormat="1" ht="15" hidden="1" customHeight="1" x14ac:dyDescent="0.25"/>
    <row r="149" s="37" customFormat="1" ht="15" hidden="1" customHeight="1" x14ac:dyDescent="0.25"/>
    <row r="150" s="37" customFormat="1" ht="15" hidden="1" customHeight="1" x14ac:dyDescent="0.25"/>
    <row r="151" s="37" customFormat="1" ht="15" hidden="1" customHeight="1" x14ac:dyDescent="0.25"/>
    <row r="152" s="37" customFormat="1" ht="15" hidden="1" customHeight="1" x14ac:dyDescent="0.25"/>
    <row r="153" s="37" customFormat="1" ht="15" hidden="1" customHeight="1" x14ac:dyDescent="0.25"/>
    <row r="154" s="37" customFormat="1" ht="15" hidden="1" customHeight="1" x14ac:dyDescent="0.25"/>
    <row r="155" s="37" customFormat="1" ht="15" hidden="1" customHeight="1" x14ac:dyDescent="0.25"/>
    <row r="156" s="37" customFormat="1" ht="15" hidden="1" customHeight="1" x14ac:dyDescent="0.25"/>
    <row r="157" s="37" customFormat="1" ht="15" hidden="1" customHeight="1" x14ac:dyDescent="0.25"/>
    <row r="158" s="37" customFormat="1" ht="15" hidden="1" customHeight="1" x14ac:dyDescent="0.25"/>
    <row r="159" s="37" customFormat="1" ht="15" hidden="1" customHeight="1" x14ac:dyDescent="0.25"/>
    <row r="160" s="37" customFormat="1" ht="15" hidden="1" customHeight="1" x14ac:dyDescent="0.25"/>
    <row r="161" s="37" customFormat="1" ht="15" hidden="1" customHeight="1" x14ac:dyDescent="0.25"/>
    <row r="162" s="37" customFormat="1" ht="15" hidden="1" customHeight="1" x14ac:dyDescent="0.25"/>
    <row r="163" s="37" customFormat="1" ht="15" hidden="1" customHeight="1" x14ac:dyDescent="0.25"/>
    <row r="164" s="37" customFormat="1" ht="15" hidden="1" customHeight="1" x14ac:dyDescent="0.25"/>
    <row r="165" s="37" customFormat="1" ht="15" hidden="1" customHeight="1" x14ac:dyDescent="0.25"/>
    <row r="166" s="37" customFormat="1" ht="15" hidden="1" customHeight="1" x14ac:dyDescent="0.25"/>
    <row r="167" s="37" customFormat="1" ht="15" hidden="1" customHeight="1" x14ac:dyDescent="0.25"/>
    <row r="168" s="37" customFormat="1" ht="15" hidden="1" customHeight="1" x14ac:dyDescent="0.25"/>
    <row r="169" s="37" customFormat="1" ht="15" hidden="1" customHeight="1" x14ac:dyDescent="0.25"/>
    <row r="170" s="37" customFormat="1" ht="15" hidden="1" customHeight="1" x14ac:dyDescent="0.25"/>
    <row r="171" s="37" customFormat="1" ht="15" hidden="1" customHeight="1" x14ac:dyDescent="0.25"/>
    <row r="172" s="37" customFormat="1" ht="15" hidden="1" customHeight="1" x14ac:dyDescent="0.25"/>
    <row r="173" s="37" customFormat="1" ht="15" hidden="1" customHeight="1" x14ac:dyDescent="0.25"/>
    <row r="174" s="37" customFormat="1" ht="15" hidden="1" customHeight="1" x14ac:dyDescent="0.25"/>
    <row r="175" s="37" customFormat="1" ht="15" hidden="1" customHeight="1" x14ac:dyDescent="0.25"/>
    <row r="176" s="37" customFormat="1" ht="15" hidden="1" customHeight="1" x14ac:dyDescent="0.25"/>
    <row r="177" s="37" customFormat="1" ht="15" hidden="1" customHeight="1" x14ac:dyDescent="0.25"/>
    <row r="178" s="37" customFormat="1" ht="15" hidden="1" customHeight="1" x14ac:dyDescent="0.25"/>
    <row r="179" s="37" customFormat="1" ht="15" hidden="1" customHeight="1" x14ac:dyDescent="0.25"/>
    <row r="180" s="37" customFormat="1" ht="15" hidden="1" customHeight="1" x14ac:dyDescent="0.25"/>
    <row r="181" s="37" customFormat="1" ht="15" hidden="1" customHeight="1" x14ac:dyDescent="0.25"/>
    <row r="182" s="37" customFormat="1" ht="15" hidden="1" customHeight="1" x14ac:dyDescent="0.25"/>
    <row r="183" s="37" customFormat="1" ht="15" hidden="1" customHeight="1" x14ac:dyDescent="0.25"/>
    <row r="184" s="37" customFormat="1" ht="15" hidden="1" customHeight="1" x14ac:dyDescent="0.25"/>
    <row r="185" s="37" customFormat="1" ht="15" hidden="1" customHeight="1" x14ac:dyDescent="0.25"/>
    <row r="186" s="37" customFormat="1" ht="15" hidden="1" customHeight="1" x14ac:dyDescent="0.25"/>
    <row r="187" s="37" customFormat="1" ht="15" hidden="1" customHeight="1" x14ac:dyDescent="0.25"/>
    <row r="188" s="37" customFormat="1" ht="15" hidden="1" customHeight="1" x14ac:dyDescent="0.25"/>
    <row r="189" s="37" customFormat="1" ht="15" hidden="1" customHeight="1" x14ac:dyDescent="0.25"/>
    <row r="190" s="37" customFormat="1" ht="15" hidden="1" customHeight="1" x14ac:dyDescent="0.25"/>
    <row r="191" s="37" customFormat="1" ht="15" hidden="1" customHeight="1" x14ac:dyDescent="0.25"/>
    <row r="192" s="37" customFormat="1" ht="15" hidden="1" customHeight="1" x14ac:dyDescent="0.25"/>
    <row r="193" s="37" customFormat="1" ht="15" hidden="1" customHeight="1" x14ac:dyDescent="0.25"/>
    <row r="194" s="37" customFormat="1"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sheetData>
  <sheetProtection algorithmName="SHA-512" hashValue="rVEV6ByLVErYqDCJc6ghMw85Q6I/gRJo+Ktb2nzq3acbdYPB/36mQ79kfAU1AUZq/3oWerqfseIn4h1KuuHJ2A==" saltValue="+j49nYMEUnYuh1babAnq2Q==" spinCount="100000" sheet="1" objects="1" scenarios="1"/>
  <mergeCells count="39">
    <mergeCell ref="B40:C40"/>
    <mergeCell ref="B14:E14"/>
    <mergeCell ref="B38:C38"/>
    <mergeCell ref="A1:M1"/>
    <mergeCell ref="A9:M9"/>
    <mergeCell ref="A17:M17"/>
    <mergeCell ref="B11:C11"/>
    <mergeCell ref="D11:E11"/>
    <mergeCell ref="H2:I4"/>
    <mergeCell ref="A5:M7"/>
    <mergeCell ref="B13:E13"/>
    <mergeCell ref="D38:E38"/>
    <mergeCell ref="B36:F36"/>
    <mergeCell ref="B15:E15"/>
    <mergeCell ref="B29:K30"/>
    <mergeCell ref="B41:C41"/>
    <mergeCell ref="B42:C42"/>
    <mergeCell ref="B52:C52"/>
    <mergeCell ref="B44:D44"/>
    <mergeCell ref="H83:I83"/>
    <mergeCell ref="H56:I56"/>
    <mergeCell ref="H57:I57"/>
    <mergeCell ref="H58:I58"/>
    <mergeCell ref="B56:F56"/>
    <mergeCell ref="H84:I84"/>
    <mergeCell ref="A65:M65"/>
    <mergeCell ref="B46:D46"/>
    <mergeCell ref="B49:D49"/>
    <mergeCell ref="B84:F84"/>
    <mergeCell ref="B73:F73"/>
    <mergeCell ref="B75:F75"/>
    <mergeCell ref="B77:F77"/>
    <mergeCell ref="B76:F76"/>
    <mergeCell ref="B79:D79"/>
    <mergeCell ref="B83:F83"/>
    <mergeCell ref="B47:D47"/>
    <mergeCell ref="G49:H49"/>
    <mergeCell ref="B57:F57"/>
    <mergeCell ref="B58:F58"/>
  </mergeCells>
  <conditionalFormatting sqref="B84">
    <cfRule type="expression" dxfId="310" priority="14">
      <formula>#REF!&lt;&gt;"Prescriptive Path"</formula>
    </cfRule>
  </conditionalFormatting>
  <conditionalFormatting sqref="G58">
    <cfRule type="expression" dxfId="309" priority="3">
      <formula>$B58="/"</formula>
    </cfRule>
    <cfRule type="expression" dxfId="308" priority="4">
      <formula>$B58="No evidence required at this submission stage"</formula>
    </cfRule>
  </conditionalFormatting>
  <conditionalFormatting sqref="G84:H84">
    <cfRule type="expression" dxfId="307" priority="10">
      <formula>$B84="/"</formula>
    </cfRule>
    <cfRule type="expression" dxfId="306" priority="11">
      <formula>$B84="No evidence required at this submission stage"</formula>
    </cfRule>
  </conditionalFormatting>
  <conditionalFormatting sqref="B57:B58">
    <cfRule type="expression" dxfId="305" priority="9">
      <formula>#REF!&lt;&gt;"Prescriptive Path"</formula>
    </cfRule>
  </conditionalFormatting>
  <conditionalFormatting sqref="G57">
    <cfRule type="expression" dxfId="304" priority="5">
      <formula>$B57="/"</formula>
    </cfRule>
    <cfRule type="expression" dxfId="303" priority="6">
      <formula>$B57="No evidence required at this submission stage"</formula>
    </cfRule>
  </conditionalFormatting>
  <conditionalFormatting sqref="H57:I58">
    <cfRule type="expression" dxfId="302" priority="1">
      <formula>$B57="No evidence required at this submission stage"</formula>
    </cfRule>
    <cfRule type="expression" dxfId="301" priority="2">
      <formula>$B57="/"</formula>
    </cfRule>
  </conditionalFormatting>
  <dataValidations count="5">
    <dataValidation type="list" allowBlank="1" showInputMessage="1" showErrorMessage="1" sqref="G84 G57:G58">
      <formula1>"Select,Submitted,Not submitted"</formula1>
    </dataValidation>
    <dataValidation type="list" allowBlank="1" showInputMessage="1" showErrorMessage="1" sqref="D11:E11">
      <formula1>"Select,Option A: Flush-out, Option B: Clean air supply ductwork"</formula1>
    </dataValidation>
    <dataValidation type="list" allowBlank="1" showInputMessage="1" showErrorMessage="1" sqref="D38:E38">
      <formula1>"Select,Pre-occupancy flush-out,Pre-occupancy/Post-occupancy flush-out"</formula1>
    </dataValidation>
    <dataValidation allowBlank="1" showInputMessage="1" showErrorMessage="1" prompt="As determined in credit H-1, minimum fresh air volumetric flow rate to be supplied to occupied spaces." sqref="B40:D40"/>
    <dataValidation type="list" allowBlank="1" showInputMessage="1" showErrorMessage="1" sqref="E49 G75:G77">
      <formula1>"Select,Yes,No"</formula1>
    </dataValidation>
  </dataValidations>
  <hyperlinks>
    <hyperlink ref="K4" location="'H-6 Green Cleaning'!B3" tooltip="H-6" display="H-6"/>
    <hyperlink ref="J4" location="'H-2 CO2 Monitoring'!B3" tooltip="H-2" display="H-2"/>
    <hyperlink ref="J3" location="'H-1 Fresh Air Supply'!B3" tooltip="H-1" display="H-1"/>
    <hyperlink ref="J2" location="'H-PR-1 Indoor Smoking'!B3" tooltip="H-PR-1" display="H-PR-1"/>
    <hyperlink ref="L3" location="'H-8 External Views'!B3" tooltip="H-8" display="H-8"/>
    <hyperlink ref="L4" location="'H-9 Lighting Comfort'!B3" tooltip="H-9" display="H-9"/>
    <hyperlink ref="L2" location="'H-7 Daylighting'!B3" tooltip="H-7" display="H-7"/>
    <hyperlink ref="M2" location="'H-10 Thermal Comfort'!B3" tooltip="H-10" display="H-10"/>
    <hyperlink ref="M4" location="'H-12 Post-occupancy Comfort'!B3" tooltip="H-12" display="H-12"/>
    <hyperlink ref="K3" location="'H-5 Interior Plants'!B3" tooltip="H-5" display="H-5"/>
    <hyperlink ref="K2" location="'H-3 Low-VOC Emissions '!D3" tooltip="H-3" display="H-3"/>
    <hyperlink ref="M3" location="'H-11 Acoustic Comfort'!B3" tooltip="H-11" display="H-11"/>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43634"/>
  </sheetPr>
  <dimension ref="A1:P115"/>
  <sheetViews>
    <sheetView showGridLines="0" showRowColHeaders="0" zoomScaleNormal="100" workbookViewId="0">
      <pane ySplit="8" topLeftCell="A9" activePane="bottomLeft" state="frozen"/>
      <selection pane="bottomLeft" activeCell="A9" sqref="A9:M9"/>
    </sheetView>
  </sheetViews>
  <sheetFormatPr defaultColWidth="0" defaultRowHeight="15" customHeight="1" zeroHeight="1" x14ac:dyDescent="0.25"/>
  <cols>
    <col min="1" max="1" width="5.7109375" style="37" customWidth="1"/>
    <col min="2" max="2" width="18.7109375" style="37" customWidth="1"/>
    <col min="3" max="3" width="17" style="37" customWidth="1"/>
    <col min="4" max="6" width="18.42578125" style="37" customWidth="1"/>
    <col min="7" max="7" width="21.7109375" style="37" customWidth="1"/>
    <col min="8" max="8" width="22.28515625" style="37" customWidth="1"/>
    <col min="9" max="9" width="16.28515625" style="37" customWidth="1"/>
    <col min="10" max="13" width="8.28515625" style="37" customWidth="1"/>
    <col min="14" max="16384" width="9.140625" style="37" hidden="1"/>
  </cols>
  <sheetData>
    <row r="1" spans="1:13" ht="23.25" x14ac:dyDescent="0.25">
      <c r="A1" s="362" t="s">
        <v>455</v>
      </c>
      <c r="B1" s="140"/>
      <c r="C1" s="140"/>
      <c r="D1" s="140"/>
      <c r="E1" s="140"/>
      <c r="F1" s="140"/>
      <c r="G1" s="47"/>
      <c r="H1" s="47"/>
      <c r="I1" s="47"/>
      <c r="J1" s="47"/>
      <c r="K1" s="47"/>
      <c r="L1" s="47"/>
      <c r="M1" s="47"/>
    </row>
    <row r="2" spans="1:13" ht="15" customHeight="1" x14ac:dyDescent="0.25">
      <c r="A2" s="48"/>
      <c r="B2" s="49"/>
      <c r="C2" s="49"/>
      <c r="D2" s="49"/>
      <c r="E2" s="49"/>
      <c r="F2" s="48"/>
      <c r="G2" s="48"/>
      <c r="H2" s="1694" t="s">
        <v>1702</v>
      </c>
      <c r="I2" s="1694"/>
      <c r="J2" s="752" t="s">
        <v>340</v>
      </c>
      <c r="K2" s="752" t="s">
        <v>35</v>
      </c>
      <c r="L2" s="752" t="s">
        <v>314</v>
      </c>
      <c r="M2" s="752" t="s">
        <v>317</v>
      </c>
    </row>
    <row r="3" spans="1:13" ht="15" customHeight="1" x14ac:dyDescent="0.25">
      <c r="A3" s="48"/>
      <c r="B3" s="49"/>
      <c r="C3" s="49"/>
      <c r="D3" s="49"/>
      <c r="E3" s="49"/>
      <c r="F3" s="48"/>
      <c r="G3" s="48"/>
      <c r="H3" s="1694"/>
      <c r="I3" s="1694"/>
      <c r="J3" s="752" t="s">
        <v>30</v>
      </c>
      <c r="K3" s="752" t="s">
        <v>37</v>
      </c>
      <c r="L3" s="752" t="s">
        <v>315</v>
      </c>
      <c r="M3" s="752" t="s">
        <v>318</v>
      </c>
    </row>
    <row r="4" spans="1:13" ht="15" customHeight="1" x14ac:dyDescent="0.25">
      <c r="A4" s="48"/>
      <c r="B4" s="49"/>
      <c r="C4" s="49"/>
      <c r="D4" s="49"/>
      <c r="E4" s="49"/>
      <c r="F4" s="48"/>
      <c r="G4" s="48"/>
      <c r="H4" s="1695"/>
      <c r="I4" s="1695"/>
      <c r="J4" s="752" t="s">
        <v>32</v>
      </c>
      <c r="K4" s="752" t="s">
        <v>313</v>
      </c>
      <c r="L4" s="752" t="s">
        <v>316</v>
      </c>
      <c r="M4" s="752" t="s">
        <v>319</v>
      </c>
    </row>
    <row r="5" spans="1:13" ht="18" customHeight="1" x14ac:dyDescent="0.25">
      <c r="A5" s="1704" t="s">
        <v>2837</v>
      </c>
      <c r="B5" s="1705"/>
      <c r="C5" s="1705"/>
      <c r="D5" s="1705"/>
      <c r="E5" s="1705"/>
      <c r="F5" s="1705"/>
      <c r="G5" s="1705"/>
      <c r="H5" s="1705"/>
      <c r="I5" s="1705"/>
      <c r="J5" s="1705"/>
      <c r="K5" s="1705"/>
      <c r="L5" s="1705"/>
      <c r="M5" s="1706"/>
    </row>
    <row r="6" spans="1:13" ht="18" customHeight="1" x14ac:dyDescent="0.25">
      <c r="A6" s="1707"/>
      <c r="B6" s="1708"/>
      <c r="C6" s="1708"/>
      <c r="D6" s="1708"/>
      <c r="E6" s="1708"/>
      <c r="F6" s="1708"/>
      <c r="G6" s="1708"/>
      <c r="H6" s="1708"/>
      <c r="I6" s="1708"/>
      <c r="J6" s="1708"/>
      <c r="K6" s="1708"/>
      <c r="L6" s="1708"/>
      <c r="M6" s="1709"/>
    </row>
    <row r="7" spans="1:13" ht="18" customHeight="1" x14ac:dyDescent="0.25">
      <c r="A7" s="1710"/>
      <c r="B7" s="1711"/>
      <c r="C7" s="1711"/>
      <c r="D7" s="1711"/>
      <c r="E7" s="1711"/>
      <c r="F7" s="1711"/>
      <c r="G7" s="1711"/>
      <c r="H7" s="1711"/>
      <c r="I7" s="1711"/>
      <c r="J7" s="1711"/>
      <c r="K7" s="1711"/>
      <c r="L7" s="1711"/>
      <c r="M7" s="1712"/>
    </row>
    <row r="8" spans="1:13" ht="12" customHeight="1" x14ac:dyDescent="0.25">
      <c r="A8" s="48"/>
      <c r="B8" s="49"/>
      <c r="C8" s="49"/>
      <c r="D8" s="49"/>
      <c r="E8" s="49"/>
      <c r="F8" s="48"/>
      <c r="G8" s="48"/>
      <c r="H8" s="48"/>
      <c r="I8" s="48"/>
      <c r="J8" s="48"/>
      <c r="K8" s="48"/>
      <c r="L8" s="48"/>
      <c r="M8" s="48"/>
    </row>
    <row r="9" spans="1:13" ht="18" customHeight="1" x14ac:dyDescent="0.25">
      <c r="A9" s="2092" t="s">
        <v>95</v>
      </c>
      <c r="B9" s="2092"/>
      <c r="C9" s="2092"/>
      <c r="D9" s="2092"/>
      <c r="E9" s="2092"/>
      <c r="F9" s="2092"/>
      <c r="G9" s="2092"/>
      <c r="H9" s="2092"/>
      <c r="I9" s="2092"/>
      <c r="J9" s="2092"/>
      <c r="K9" s="2092"/>
      <c r="L9" s="2092"/>
      <c r="M9" s="2092"/>
    </row>
    <row r="10" spans="1:13" x14ac:dyDescent="0.25">
      <c r="A10" s="48"/>
      <c r="B10" s="49"/>
      <c r="C10" s="49"/>
      <c r="D10" s="49"/>
      <c r="E10" s="49"/>
      <c r="F10" s="48"/>
      <c r="G10" s="48"/>
      <c r="H10" s="48"/>
      <c r="I10" s="48"/>
      <c r="J10" s="48"/>
      <c r="K10" s="48"/>
      <c r="L10" s="48"/>
      <c r="M10" s="48"/>
    </row>
    <row r="11" spans="1:13" ht="21" customHeight="1" x14ac:dyDescent="0.25">
      <c r="A11" s="48"/>
      <c r="B11" s="2097" t="s">
        <v>96</v>
      </c>
      <c r="C11" s="2098"/>
      <c r="D11" s="2098"/>
      <c r="E11" s="2098"/>
      <c r="F11" s="677" t="s">
        <v>75</v>
      </c>
      <c r="G11" s="677" t="s">
        <v>19</v>
      </c>
      <c r="H11" s="50" t="s">
        <v>151</v>
      </c>
      <c r="I11" s="48"/>
      <c r="J11" s="48"/>
      <c r="K11" s="48"/>
      <c r="L11" s="48"/>
      <c r="M11" s="48"/>
    </row>
    <row r="12" spans="1:13" ht="21" customHeight="1" x14ac:dyDescent="0.25">
      <c r="A12" s="48"/>
      <c r="B12" s="2105" t="s">
        <v>1338</v>
      </c>
      <c r="C12" s="2106"/>
      <c r="D12" s="2106"/>
      <c r="E12" s="2107"/>
      <c r="F12" s="320">
        <v>1</v>
      </c>
      <c r="G12" s="320">
        <f>C51</f>
        <v>0</v>
      </c>
      <c r="H12" s="320" t="str">
        <f>C52</f>
        <v>No</v>
      </c>
      <c r="I12" s="48"/>
      <c r="J12" s="48"/>
      <c r="K12" s="48"/>
      <c r="L12" s="48"/>
      <c r="M12" s="48"/>
    </row>
    <row r="13" spans="1:13" x14ac:dyDescent="0.25">
      <c r="A13" s="48"/>
      <c r="B13" s="49"/>
      <c r="C13" s="49"/>
      <c r="D13" s="49"/>
      <c r="E13" s="49"/>
      <c r="F13" s="48"/>
      <c r="G13" s="48"/>
      <c r="H13" s="48"/>
      <c r="I13" s="48"/>
      <c r="J13" s="48"/>
      <c r="K13" s="48"/>
      <c r="L13" s="48"/>
      <c r="M13" s="48"/>
    </row>
    <row r="14" spans="1:13" ht="18" customHeight="1" x14ac:dyDescent="0.25">
      <c r="A14" s="2092" t="s">
        <v>117</v>
      </c>
      <c r="B14" s="2092"/>
      <c r="C14" s="2092"/>
      <c r="D14" s="2092"/>
      <c r="E14" s="2092"/>
      <c r="F14" s="2092"/>
      <c r="G14" s="2092"/>
      <c r="H14" s="2092"/>
      <c r="I14" s="2092"/>
      <c r="J14" s="2092"/>
      <c r="K14" s="2092"/>
      <c r="L14" s="2092"/>
      <c r="M14" s="2092"/>
    </row>
    <row r="15" spans="1:13" ht="12" customHeight="1" x14ac:dyDescent="0.25">
      <c r="A15" s="48"/>
      <c r="B15" s="49"/>
      <c r="C15" s="49"/>
      <c r="D15" s="49"/>
      <c r="E15" s="49"/>
      <c r="F15" s="48"/>
      <c r="G15" s="48"/>
      <c r="H15" s="48"/>
      <c r="I15" s="48"/>
      <c r="J15" s="48"/>
      <c r="K15" s="48"/>
      <c r="L15" s="48"/>
      <c r="M15" s="48"/>
    </row>
    <row r="16" spans="1:13" x14ac:dyDescent="0.25">
      <c r="A16" s="48"/>
      <c r="B16" s="2150" t="s">
        <v>1339</v>
      </c>
      <c r="C16" s="2150"/>
      <c r="D16" s="2150"/>
      <c r="E16" s="2150"/>
      <c r="F16" s="2150"/>
      <c r="G16" s="2150"/>
      <c r="H16" s="2150"/>
      <c r="I16" s="2150"/>
      <c r="J16" s="48"/>
      <c r="K16" s="48"/>
      <c r="L16" s="48"/>
      <c r="M16" s="48"/>
    </row>
    <row r="17" spans="1:16" ht="12.75" customHeight="1" x14ac:dyDescent="0.25">
      <c r="A17" s="48"/>
      <c r="B17" s="121"/>
      <c r="C17" s="49"/>
      <c r="D17" s="49"/>
      <c r="E17" s="49"/>
      <c r="F17" s="48"/>
      <c r="G17" s="48"/>
      <c r="H17" s="48"/>
      <c r="I17" s="48"/>
      <c r="J17" s="48"/>
      <c r="K17" s="48"/>
      <c r="L17" s="48"/>
      <c r="M17" s="48"/>
    </row>
    <row r="18" spans="1:16" x14ac:dyDescent="0.25">
      <c r="A18" s="48"/>
      <c r="B18" s="2159" t="s">
        <v>1336</v>
      </c>
      <c r="C18" s="2160"/>
      <c r="D18" s="2160"/>
      <c r="E18" s="2160"/>
      <c r="F18" s="2160"/>
      <c r="G18" s="2160"/>
      <c r="H18" s="2160"/>
      <c r="I18" s="2161"/>
      <c r="J18" s="48"/>
      <c r="K18" s="48"/>
      <c r="L18" s="48"/>
      <c r="M18" s="48"/>
    </row>
    <row r="19" spans="1:16" ht="15" customHeight="1" x14ac:dyDescent="0.25">
      <c r="A19" s="48"/>
      <c r="B19" s="2152" t="s">
        <v>466</v>
      </c>
      <c r="C19" s="2123"/>
      <c r="D19" s="2123"/>
      <c r="E19" s="2123"/>
      <c r="F19" s="2123"/>
      <c r="G19" s="2123"/>
      <c r="H19" s="2123"/>
      <c r="I19" s="2153"/>
      <c r="J19" s="48"/>
      <c r="K19" s="48"/>
      <c r="L19" s="48"/>
      <c r="M19" s="48"/>
    </row>
    <row r="20" spans="1:16" x14ac:dyDescent="0.25">
      <c r="A20" s="48"/>
      <c r="B20" s="2152" t="s">
        <v>2022</v>
      </c>
      <c r="C20" s="2123"/>
      <c r="D20" s="2123"/>
      <c r="E20" s="2123"/>
      <c r="F20" s="2123"/>
      <c r="G20" s="2123"/>
      <c r="H20" s="2123"/>
      <c r="I20" s="2153"/>
      <c r="J20" s="48"/>
      <c r="K20" s="48"/>
      <c r="L20" s="48"/>
      <c r="M20" s="48"/>
    </row>
    <row r="21" spans="1:16" x14ac:dyDescent="0.25">
      <c r="A21" s="48"/>
      <c r="B21" s="2154" t="s">
        <v>1337</v>
      </c>
      <c r="C21" s="2155"/>
      <c r="D21" s="2155"/>
      <c r="E21" s="2155"/>
      <c r="F21" s="2155"/>
      <c r="G21" s="2155"/>
      <c r="H21" s="2155"/>
      <c r="I21" s="2156"/>
      <c r="J21" s="48"/>
      <c r="K21" s="48"/>
      <c r="L21" s="48"/>
      <c r="M21" s="48"/>
    </row>
    <row r="22" spans="1:16" ht="18" customHeight="1" x14ac:dyDescent="0.25">
      <c r="A22" s="48"/>
      <c r="B22" s="368"/>
      <c r="C22" s="49"/>
      <c r="D22" s="49"/>
      <c r="E22" s="49"/>
      <c r="F22" s="48"/>
      <c r="G22" s="48"/>
      <c r="H22" s="48"/>
      <c r="I22" s="48"/>
      <c r="J22" s="48"/>
      <c r="K22" s="48"/>
      <c r="L22" s="48"/>
      <c r="M22" s="48"/>
    </row>
    <row r="23" spans="1:16" ht="18" customHeight="1" x14ac:dyDescent="0.25">
      <c r="A23" s="48"/>
      <c r="B23" s="671" t="s">
        <v>1043</v>
      </c>
      <c r="C23" s="49"/>
      <c r="D23" s="49"/>
      <c r="E23" s="49"/>
      <c r="F23" s="48"/>
      <c r="G23" s="2158" t="s">
        <v>1126</v>
      </c>
      <c r="H23" s="2158"/>
      <c r="I23" s="2158"/>
      <c r="J23" s="2158"/>
      <c r="K23" s="2158"/>
      <c r="L23" s="48"/>
      <c r="M23" s="48"/>
    </row>
    <row r="24" spans="1:16" ht="9" customHeight="1" x14ac:dyDescent="0.25">
      <c r="A24" s="48"/>
      <c r="B24" s="368"/>
      <c r="C24" s="49"/>
      <c r="D24" s="49"/>
      <c r="E24" s="49"/>
      <c r="F24" s="48"/>
      <c r="G24" s="2158"/>
      <c r="H24" s="2158"/>
      <c r="I24" s="2158"/>
      <c r="J24" s="2158"/>
      <c r="K24" s="2158"/>
      <c r="L24" s="533"/>
      <c r="M24" s="533"/>
    </row>
    <row r="25" spans="1:16" ht="27" customHeight="1" x14ac:dyDescent="0.25">
      <c r="A25" s="48"/>
      <c r="B25" s="255" t="s">
        <v>467</v>
      </c>
      <c r="C25" s="260" t="s">
        <v>480</v>
      </c>
      <c r="D25" s="260" t="s">
        <v>468</v>
      </c>
      <c r="E25" s="260" t="s">
        <v>477</v>
      </c>
      <c r="F25" s="260" t="s">
        <v>469</v>
      </c>
      <c r="G25" s="48"/>
      <c r="H25" s="367" t="s">
        <v>468</v>
      </c>
      <c r="I25" s="2110" t="s">
        <v>822</v>
      </c>
      <c r="J25" s="2114"/>
      <c r="K25" s="48"/>
      <c r="L25" s="48"/>
      <c r="M25" s="48"/>
    </row>
    <row r="26" spans="1:16" ht="15" customHeight="1" x14ac:dyDescent="0.25">
      <c r="A26" s="48"/>
      <c r="B26" s="359"/>
      <c r="C26" s="359"/>
      <c r="D26" s="359"/>
      <c r="E26" s="370" t="str">
        <f>IFERROR(P26*C26,"")</f>
        <v/>
      </c>
      <c r="F26" s="359" t="s">
        <v>62</v>
      </c>
      <c r="G26" s="48"/>
      <c r="H26" s="369" t="s">
        <v>472</v>
      </c>
      <c r="I26" s="2157">
        <v>0.2</v>
      </c>
      <c r="J26" s="2157"/>
      <c r="K26" s="48"/>
      <c r="L26" s="48"/>
      <c r="M26" s="48"/>
      <c r="O26" s="37" t="str">
        <f>IF(OR(D26="",D26=0,ISNUMBER(D26)=FALSE),"",IF(D26&lt;100,$H$26,IF(D26&lt;200,$H$27,IF(D26&lt;250,$H$28,IF(D26&lt;320,$H$29,IF(D26&lt;400,$H$30,IF(D26&lt;550,$H$31,$H$32)))))))</f>
        <v/>
      </c>
      <c r="P26" s="37" t="e">
        <f>VLOOKUP(O26,$H$25:$J$32,2,FALSE)</f>
        <v>#N/A</v>
      </c>
    </row>
    <row r="27" spans="1:16" ht="15" customHeight="1" x14ac:dyDescent="0.25">
      <c r="A27" s="48"/>
      <c r="B27" s="359"/>
      <c r="C27" s="359"/>
      <c r="D27" s="359"/>
      <c r="E27" s="370" t="str">
        <f t="shared" ref="E27:E35" si="0">IFERROR(P27*C27,"")</f>
        <v/>
      </c>
      <c r="F27" s="359" t="s">
        <v>62</v>
      </c>
      <c r="G27" s="48"/>
      <c r="H27" s="369" t="s">
        <v>471</v>
      </c>
      <c r="I27" s="2157">
        <v>0.33</v>
      </c>
      <c r="J27" s="2157"/>
      <c r="K27" s="48"/>
      <c r="L27" s="48"/>
      <c r="M27" s="48"/>
      <c r="O27" s="37" t="str">
        <f t="shared" ref="O27:O35" si="1">IF(OR(D27="",D27=0),"",IF(D27&lt;100,$H$26,IF(D27&lt;200,$H$27,IF(D27&lt;250,$H$28,IF(D27&lt;320,$H$29,IF(D27&lt;400,$H$30,IF(D27&lt;550,$H$31,$H$32)))))))</f>
        <v/>
      </c>
      <c r="P27" s="37" t="e">
        <f t="shared" ref="P27:P35" si="2">VLOOKUP(O27,$H$25:$J$32,2,FALSE)</f>
        <v>#N/A</v>
      </c>
    </row>
    <row r="28" spans="1:16" ht="15" customHeight="1" x14ac:dyDescent="0.25">
      <c r="A28" s="48"/>
      <c r="B28" s="359"/>
      <c r="C28" s="359"/>
      <c r="D28" s="359"/>
      <c r="E28" s="370" t="str">
        <f t="shared" si="0"/>
        <v/>
      </c>
      <c r="F28" s="359" t="s">
        <v>62</v>
      </c>
      <c r="G28" s="48"/>
      <c r="H28" s="369" t="s">
        <v>473</v>
      </c>
      <c r="I28" s="2157">
        <v>0.5</v>
      </c>
      <c r="J28" s="2157"/>
      <c r="K28" s="48"/>
      <c r="L28" s="48"/>
      <c r="M28" s="48"/>
      <c r="O28" s="37" t="str">
        <f t="shared" si="1"/>
        <v/>
      </c>
      <c r="P28" s="37" t="e">
        <f t="shared" si="2"/>
        <v>#N/A</v>
      </c>
    </row>
    <row r="29" spans="1:16" ht="15" customHeight="1" x14ac:dyDescent="0.25">
      <c r="A29" s="48"/>
      <c r="B29" s="359"/>
      <c r="C29" s="359"/>
      <c r="D29" s="359"/>
      <c r="E29" s="370" t="str">
        <f t="shared" si="0"/>
        <v/>
      </c>
      <c r="F29" s="359" t="s">
        <v>62</v>
      </c>
      <c r="G29" s="48"/>
      <c r="H29" s="369" t="s">
        <v>474</v>
      </c>
      <c r="I29" s="2157">
        <v>1</v>
      </c>
      <c r="J29" s="2157"/>
      <c r="K29" s="48"/>
      <c r="L29" s="48"/>
      <c r="M29" s="48"/>
      <c r="O29" s="37" t="str">
        <f t="shared" si="1"/>
        <v/>
      </c>
      <c r="P29" s="37" t="e">
        <f t="shared" si="2"/>
        <v>#N/A</v>
      </c>
    </row>
    <row r="30" spans="1:16" ht="15" customHeight="1" x14ac:dyDescent="0.25">
      <c r="A30" s="48"/>
      <c r="B30" s="359"/>
      <c r="C30" s="359"/>
      <c r="D30" s="359"/>
      <c r="E30" s="370" t="str">
        <f t="shared" si="0"/>
        <v/>
      </c>
      <c r="F30" s="359" t="s">
        <v>62</v>
      </c>
      <c r="G30" s="48"/>
      <c r="H30" s="369" t="s">
        <v>475</v>
      </c>
      <c r="I30" s="2157">
        <v>2</v>
      </c>
      <c r="J30" s="2157"/>
      <c r="K30" s="48"/>
      <c r="L30" s="48"/>
      <c r="M30" s="48"/>
      <c r="O30" s="37" t="str">
        <f t="shared" si="1"/>
        <v/>
      </c>
      <c r="P30" s="37" t="e">
        <f t="shared" si="2"/>
        <v>#N/A</v>
      </c>
    </row>
    <row r="31" spans="1:16" ht="15" customHeight="1" x14ac:dyDescent="0.25">
      <c r="A31" s="48"/>
      <c r="B31" s="359"/>
      <c r="C31" s="359"/>
      <c r="D31" s="359"/>
      <c r="E31" s="370" t="str">
        <f t="shared" si="0"/>
        <v/>
      </c>
      <c r="F31" s="359" t="s">
        <v>62</v>
      </c>
      <c r="G31" s="48"/>
      <c r="H31" s="369" t="s">
        <v>476</v>
      </c>
      <c r="I31" s="2157">
        <v>3</v>
      </c>
      <c r="J31" s="2157"/>
      <c r="K31" s="48"/>
      <c r="L31" s="48"/>
      <c r="M31" s="48"/>
      <c r="O31" s="37" t="str">
        <f t="shared" si="1"/>
        <v/>
      </c>
      <c r="P31" s="37" t="e">
        <f t="shared" si="2"/>
        <v>#N/A</v>
      </c>
    </row>
    <row r="32" spans="1:16" ht="15" customHeight="1" x14ac:dyDescent="0.25">
      <c r="A32" s="48"/>
      <c r="B32" s="359"/>
      <c r="C32" s="359"/>
      <c r="D32" s="359"/>
      <c r="E32" s="370" t="str">
        <f t="shared" si="0"/>
        <v/>
      </c>
      <c r="F32" s="359" t="s">
        <v>62</v>
      </c>
      <c r="G32" s="48"/>
      <c r="H32" s="369" t="s">
        <v>478</v>
      </c>
      <c r="I32" s="2157">
        <v>4</v>
      </c>
      <c r="J32" s="2157"/>
      <c r="K32" s="48"/>
      <c r="L32" s="48"/>
      <c r="M32" s="48"/>
      <c r="O32" s="37" t="str">
        <f t="shared" si="1"/>
        <v/>
      </c>
      <c r="P32" s="37" t="e">
        <f t="shared" si="2"/>
        <v>#N/A</v>
      </c>
    </row>
    <row r="33" spans="1:16" ht="15" customHeight="1" x14ac:dyDescent="0.25">
      <c r="A33" s="48"/>
      <c r="B33" s="359"/>
      <c r="C33" s="359"/>
      <c r="D33" s="359"/>
      <c r="E33" s="370" t="str">
        <f t="shared" si="0"/>
        <v/>
      </c>
      <c r="F33" s="359" t="s">
        <v>62</v>
      </c>
      <c r="G33" s="48"/>
      <c r="H33" s="2157" t="s">
        <v>479</v>
      </c>
      <c r="I33" s="2157" t="s">
        <v>481</v>
      </c>
      <c r="J33" s="2157"/>
      <c r="K33" s="48"/>
      <c r="L33" s="48"/>
      <c r="M33" s="48"/>
      <c r="O33" s="37" t="str">
        <f t="shared" si="1"/>
        <v/>
      </c>
      <c r="P33" s="37" t="e">
        <f t="shared" si="2"/>
        <v>#N/A</v>
      </c>
    </row>
    <row r="34" spans="1:16" ht="15" customHeight="1" x14ac:dyDescent="0.25">
      <c r="A34" s="48"/>
      <c r="B34" s="359"/>
      <c r="C34" s="359"/>
      <c r="D34" s="359"/>
      <c r="E34" s="370" t="str">
        <f t="shared" si="0"/>
        <v/>
      </c>
      <c r="F34" s="359" t="s">
        <v>62</v>
      </c>
      <c r="G34" s="48"/>
      <c r="H34" s="2157"/>
      <c r="I34" s="2157"/>
      <c r="J34" s="2157"/>
      <c r="K34" s="48"/>
      <c r="L34" s="48"/>
      <c r="M34" s="48"/>
      <c r="O34" s="37" t="str">
        <f t="shared" si="1"/>
        <v/>
      </c>
      <c r="P34" s="37" t="e">
        <f t="shared" si="2"/>
        <v>#N/A</v>
      </c>
    </row>
    <row r="35" spans="1:16" ht="15" customHeight="1" x14ac:dyDescent="0.25">
      <c r="A35" s="48"/>
      <c r="B35" s="359"/>
      <c r="C35" s="359"/>
      <c r="D35" s="359"/>
      <c r="E35" s="370" t="str">
        <f t="shared" si="0"/>
        <v/>
      </c>
      <c r="F35" s="359" t="s">
        <v>62</v>
      </c>
      <c r="G35" s="48"/>
      <c r="H35" s="2157"/>
      <c r="I35" s="2157"/>
      <c r="J35" s="2157"/>
      <c r="K35" s="48"/>
      <c r="L35" s="48"/>
      <c r="M35" s="48"/>
      <c r="O35" s="37" t="str">
        <f t="shared" si="1"/>
        <v/>
      </c>
      <c r="P35" s="37" t="e">
        <f t="shared" si="2"/>
        <v>#N/A</v>
      </c>
    </row>
    <row r="36" spans="1:16" ht="14.25" customHeight="1" x14ac:dyDescent="0.25">
      <c r="A36" s="48"/>
      <c r="B36" s="48"/>
      <c r="C36" s="48"/>
      <c r="D36" s="48"/>
      <c r="E36" s="371">
        <f>SUMIF(F26:F35,"Yes",E26:E35)</f>
        <v>0</v>
      </c>
      <c r="F36" s="48"/>
      <c r="G36" s="48"/>
      <c r="H36" s="48"/>
      <c r="I36" s="48"/>
      <c r="J36" s="48"/>
      <c r="K36" s="48"/>
      <c r="L36" s="48"/>
      <c r="M36" s="48"/>
    </row>
    <row r="37" spans="1:16" ht="14.25" customHeight="1" x14ac:dyDescent="0.25">
      <c r="A37" s="48"/>
      <c r="B37" s="48"/>
      <c r="C37" s="48"/>
      <c r="D37" s="48"/>
      <c r="E37" s="48"/>
      <c r="F37" s="48"/>
      <c r="G37" s="48"/>
      <c r="H37" s="48"/>
      <c r="I37" s="48"/>
      <c r="J37" s="48"/>
      <c r="K37" s="48"/>
      <c r="L37" s="48"/>
      <c r="M37" s="48"/>
    </row>
    <row r="38" spans="1:16" ht="16.5" customHeight="1" x14ac:dyDescent="0.25">
      <c r="A38" s="48"/>
      <c r="B38" s="2151" t="s">
        <v>470</v>
      </c>
      <c r="C38" s="2114"/>
      <c r="D38" s="360"/>
      <c r="E38" s="372" t="str">
        <f>IF(D38="","","Density:")</f>
        <v/>
      </c>
      <c r="F38" s="48" t="str">
        <f>IF(D38="","",CONCATENATE(ROUNDUP(E36*2/D38,2)," plant units for 2 full time occupants"))</f>
        <v/>
      </c>
      <c r="G38" s="48"/>
      <c r="H38" s="48"/>
      <c r="I38" s="48"/>
      <c r="J38" s="48"/>
      <c r="K38" s="48"/>
      <c r="L38" s="48"/>
      <c r="M38" s="48"/>
    </row>
    <row r="39" spans="1:16" ht="16.5" customHeight="1" x14ac:dyDescent="0.25">
      <c r="A39" s="48"/>
      <c r="B39" s="2151" t="s">
        <v>465</v>
      </c>
      <c r="C39" s="2114"/>
      <c r="D39" s="360"/>
      <c r="E39" s="372" t="str">
        <f>IF(D39="","","Density:")</f>
        <v/>
      </c>
      <c r="F39" s="48" t="str">
        <f>IF(D39="","",CONCATENATE(ROUNDUP(E36*50/D39,2)," plant units per 50 m2 of occupied area"))</f>
        <v/>
      </c>
      <c r="G39" s="48"/>
      <c r="H39" s="48"/>
      <c r="I39" s="48"/>
      <c r="J39" s="361"/>
      <c r="K39" s="48"/>
      <c r="L39" s="48"/>
      <c r="M39" s="48"/>
    </row>
    <row r="40" spans="1:16" ht="19.5" customHeight="1" x14ac:dyDescent="0.25">
      <c r="A40" s="48"/>
      <c r="E40" s="361"/>
      <c r="F40" s="361"/>
      <c r="G40" s="361"/>
      <c r="H40" s="48"/>
      <c r="I40" s="361"/>
      <c r="J40" s="361"/>
      <c r="K40" s="48"/>
      <c r="L40" s="48"/>
      <c r="M40" s="48"/>
    </row>
    <row r="41" spans="1:16" ht="18" customHeight="1" x14ac:dyDescent="0.25">
      <c r="A41" s="48"/>
      <c r="B41" s="2102" t="s">
        <v>464</v>
      </c>
      <c r="C41" s="2102"/>
      <c r="D41" s="70" t="str">
        <f>IFERROR(IF(AND(COUNTIF(F26:F35,"Yes")&gt;=1,COUNTIF(F26:F35,"No")=0),IF(MIN(E36*50/D39,E36*2/D38)&gt;=1,"Yes","No"),"No"),"")</f>
        <v>No</v>
      </c>
      <c r="E41" s="48"/>
      <c r="F41" s="48"/>
      <c r="G41" s="48"/>
      <c r="H41" s="48"/>
      <c r="I41" s="48"/>
      <c r="J41" s="48"/>
      <c r="K41" s="48"/>
      <c r="L41" s="48"/>
      <c r="M41" s="48"/>
    </row>
    <row r="42" spans="1:16" ht="19.5" customHeight="1" x14ac:dyDescent="0.25">
      <c r="A42" s="48"/>
      <c r="B42" s="49"/>
      <c r="C42" s="49"/>
      <c r="D42" s="49"/>
      <c r="E42" s="48"/>
      <c r="F42" s="48"/>
      <c r="G42" s="48"/>
      <c r="H42" s="48"/>
      <c r="I42" s="48"/>
      <c r="J42" s="48"/>
      <c r="K42" s="48"/>
      <c r="L42" s="48"/>
      <c r="M42" s="48"/>
    </row>
    <row r="43" spans="1:16" ht="18" customHeight="1" x14ac:dyDescent="0.25">
      <c r="A43" s="2092" t="s">
        <v>97</v>
      </c>
      <c r="B43" s="2092"/>
      <c r="C43" s="2092"/>
      <c r="D43" s="2092"/>
      <c r="E43" s="2092"/>
      <c r="F43" s="2092"/>
      <c r="G43" s="2092"/>
      <c r="H43" s="2092"/>
      <c r="I43" s="2092"/>
      <c r="J43" s="2092"/>
      <c r="K43" s="2092"/>
      <c r="L43" s="2092"/>
      <c r="M43" s="2092"/>
    </row>
    <row r="44" spans="1:16" x14ac:dyDescent="0.25">
      <c r="A44" s="48"/>
      <c r="B44" s="48"/>
      <c r="C44" s="48"/>
      <c r="D44" s="48"/>
      <c r="E44" s="48"/>
      <c r="F44" s="48"/>
      <c r="G44" s="48"/>
      <c r="H44" s="48"/>
      <c r="I44" s="48"/>
      <c r="J44" s="48"/>
      <c r="K44" s="48"/>
      <c r="L44" s="48"/>
      <c r="M44" s="48"/>
    </row>
    <row r="45" spans="1:16" ht="21" customHeight="1" x14ac:dyDescent="0.25">
      <c r="A45" s="48"/>
      <c r="B45" s="2093" t="s">
        <v>98</v>
      </c>
      <c r="C45" s="2094"/>
      <c r="D45" s="2094"/>
      <c r="E45" s="2094"/>
      <c r="F45" s="2094"/>
      <c r="G45" s="256" t="s">
        <v>1297</v>
      </c>
      <c r="H45" s="2095" t="s">
        <v>1298</v>
      </c>
      <c r="I45" s="2095"/>
      <c r="J45" s="48"/>
      <c r="K45" s="48"/>
      <c r="L45" s="48"/>
      <c r="M45" s="48"/>
    </row>
    <row r="46" spans="1:16" ht="30" customHeight="1" x14ac:dyDescent="0.25">
      <c r="A46" s="48"/>
      <c r="B46" s="1644" t="str">
        <f>Submittals!H101</f>
        <v>Select the Submission Stage in Project Information</v>
      </c>
      <c r="C46" s="1645"/>
      <c r="D46" s="1645"/>
      <c r="E46" s="1645"/>
      <c r="F46" s="1645"/>
      <c r="G46" s="810" t="s">
        <v>62</v>
      </c>
      <c r="H46" s="1625"/>
      <c r="I46" s="1626"/>
      <c r="J46" s="48"/>
      <c r="K46" s="48"/>
      <c r="L46" s="48"/>
      <c r="M46" s="48"/>
      <c r="N46" s="37" t="str">
        <f>IF(OR(B46="/",B46="No evidence required at this submission stage"),"Yes",IF(H46="Submitted","Yes","No"))</f>
        <v>No</v>
      </c>
    </row>
    <row r="47" spans="1:16" ht="30" customHeight="1" x14ac:dyDescent="0.25">
      <c r="A47" s="48"/>
      <c r="B47" s="1644" t="str">
        <f>Submittals!H102</f>
        <v>Select the Submission Stage in Project Information</v>
      </c>
      <c r="C47" s="1645"/>
      <c r="D47" s="1645"/>
      <c r="E47" s="1645"/>
      <c r="F47" s="1645"/>
      <c r="G47" s="810" t="s">
        <v>62</v>
      </c>
      <c r="H47" s="1625"/>
      <c r="I47" s="1626"/>
      <c r="J47" s="48"/>
      <c r="K47" s="48"/>
      <c r="L47" s="48"/>
      <c r="M47" s="48"/>
      <c r="N47" s="37" t="str">
        <f>IF(OR(B47="/",B47="No evidence required at this submission stage"),"Yes",IF(H47="Submitted","Yes","No"))</f>
        <v>No</v>
      </c>
    </row>
    <row r="48" spans="1:16" ht="19.5" customHeight="1" x14ac:dyDescent="0.25">
      <c r="A48" s="48"/>
      <c r="B48" s="49"/>
      <c r="C48" s="49"/>
      <c r="D48" s="49"/>
      <c r="E48" s="48"/>
      <c r="F48" s="48"/>
      <c r="G48" s="48"/>
      <c r="H48" s="48"/>
      <c r="I48" s="48"/>
      <c r="J48" s="48"/>
      <c r="K48" s="48"/>
      <c r="L48" s="48"/>
      <c r="M48" s="48"/>
    </row>
    <row r="49" spans="1:13" ht="18" customHeight="1" x14ac:dyDescent="0.25">
      <c r="A49" s="2092" t="s">
        <v>8</v>
      </c>
      <c r="B49" s="2092"/>
      <c r="C49" s="2092"/>
      <c r="D49" s="2092"/>
      <c r="E49" s="2092"/>
      <c r="F49" s="2092"/>
      <c r="G49" s="2092"/>
      <c r="H49" s="2092"/>
      <c r="I49" s="2092"/>
      <c r="J49" s="2092"/>
      <c r="K49" s="2092"/>
      <c r="L49" s="2092"/>
      <c r="M49" s="2092"/>
    </row>
    <row r="50" spans="1:13" ht="17.25" customHeight="1" x14ac:dyDescent="0.25">
      <c r="A50" s="48"/>
      <c r="B50" s="49"/>
      <c r="C50" s="49"/>
      <c r="D50" s="49"/>
      <c r="E50" s="49"/>
      <c r="F50" s="48"/>
      <c r="G50" s="48"/>
      <c r="H50" s="48"/>
      <c r="I50" s="48"/>
      <c r="J50" s="48"/>
      <c r="K50" s="48"/>
      <c r="L50" s="48"/>
      <c r="M50" s="48"/>
    </row>
    <row r="51" spans="1:13" ht="18" customHeight="1" x14ac:dyDescent="0.25">
      <c r="A51" s="48"/>
      <c r="B51" s="115" t="s">
        <v>19</v>
      </c>
      <c r="C51" s="116">
        <f>IF(D41="Yes",1,0)</f>
        <v>0</v>
      </c>
      <c r="D51" s="49"/>
      <c r="E51" s="48"/>
      <c r="F51" s="48"/>
      <c r="G51" s="48"/>
      <c r="H51" s="48"/>
      <c r="I51" s="48"/>
      <c r="J51" s="48"/>
      <c r="K51" s="48"/>
      <c r="L51" s="48"/>
      <c r="M51" s="48"/>
    </row>
    <row r="52" spans="1:13" ht="18" customHeight="1" x14ac:dyDescent="0.25">
      <c r="A52" s="48"/>
      <c r="B52" s="117" t="s">
        <v>151</v>
      </c>
      <c r="C52" s="7" t="str">
        <f>IF(AND(COUNTIF(N46:N47,"Yes")=2,C51&gt;0),"Yes","No")</f>
        <v>No</v>
      </c>
      <c r="D52" s="49"/>
      <c r="E52" s="49"/>
      <c r="F52" s="48"/>
      <c r="G52" s="48"/>
      <c r="H52" s="48"/>
      <c r="I52" s="48"/>
      <c r="J52" s="48"/>
      <c r="K52" s="48"/>
      <c r="L52" s="48"/>
      <c r="M52" s="48"/>
    </row>
    <row r="53" spans="1:13" ht="18.75" customHeight="1" x14ac:dyDescent="0.25">
      <c r="A53" s="48"/>
      <c r="B53" s="49"/>
      <c r="C53" s="49"/>
      <c r="D53" s="49"/>
      <c r="E53" s="49"/>
      <c r="F53" s="48"/>
      <c r="G53" s="48"/>
      <c r="H53" s="48"/>
      <c r="I53" s="48"/>
      <c r="J53" s="48"/>
      <c r="K53" s="48"/>
      <c r="L53" s="48"/>
      <c r="M53" s="48"/>
    </row>
    <row r="54" spans="1:13" hidden="1" x14ac:dyDescent="0.25">
      <c r="J54" s="48"/>
      <c r="K54" s="48"/>
      <c r="L54" s="48"/>
      <c r="M54" s="48"/>
    </row>
    <row r="55" spans="1:13" hidden="1" x14ac:dyDescent="0.25">
      <c r="J55" s="48"/>
      <c r="K55" s="48"/>
      <c r="L55" s="48"/>
      <c r="M55" s="48"/>
    </row>
    <row r="56" spans="1:13" hidden="1" x14ac:dyDescent="0.25">
      <c r="J56" s="48"/>
      <c r="K56" s="48"/>
      <c r="L56" s="48"/>
      <c r="M56" s="48"/>
    </row>
    <row r="57" spans="1:13" hidden="1" x14ac:dyDescent="0.25"/>
    <row r="58" spans="1:13" hidden="1" x14ac:dyDescent="0.25"/>
    <row r="59" spans="1:13" hidden="1" x14ac:dyDescent="0.25"/>
    <row r="60" spans="1:13" hidden="1" x14ac:dyDescent="0.25"/>
    <row r="61" spans="1:13" hidden="1" x14ac:dyDescent="0.25"/>
    <row r="62" spans="1:13" hidden="1" x14ac:dyDescent="0.25"/>
    <row r="63" spans="1:13" hidden="1" x14ac:dyDescent="0.25"/>
    <row r="64" spans="1:13"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sheetData>
  <sheetProtection algorithmName="SHA-512" hashValue="3d2KabnEwlJLJjHA6XNmPuczGel2yRomh5l/0/hBNhKvE8q08nmC5BEjEx+s9exQLieDqYZ8aUhBi1WL2k2/jA==" saltValue="UWbT6Fdcz6VwZSu7pRZsHQ==" spinCount="100000" sheet="1" objects="1" scenarios="1"/>
  <mergeCells count="33">
    <mergeCell ref="A49:M49"/>
    <mergeCell ref="H2:I4"/>
    <mergeCell ref="A5:M7"/>
    <mergeCell ref="B11:E11"/>
    <mergeCell ref="B12:E12"/>
    <mergeCell ref="I31:J31"/>
    <mergeCell ref="I25:J25"/>
    <mergeCell ref="I26:J26"/>
    <mergeCell ref="I27:J27"/>
    <mergeCell ref="G23:K24"/>
    <mergeCell ref="I28:J28"/>
    <mergeCell ref="I30:J30"/>
    <mergeCell ref="I29:J29"/>
    <mergeCell ref="B18:I18"/>
    <mergeCell ref="B47:F47"/>
    <mergeCell ref="B19:I19"/>
    <mergeCell ref="H47:I47"/>
    <mergeCell ref="H46:I46"/>
    <mergeCell ref="B20:I20"/>
    <mergeCell ref="B21:I21"/>
    <mergeCell ref="B38:C38"/>
    <mergeCell ref="I32:J32"/>
    <mergeCell ref="I33:J35"/>
    <mergeCell ref="H33:H35"/>
    <mergeCell ref="B16:I16"/>
    <mergeCell ref="A43:M43"/>
    <mergeCell ref="A9:M9"/>
    <mergeCell ref="B46:F46"/>
    <mergeCell ref="A14:M14"/>
    <mergeCell ref="B39:C39"/>
    <mergeCell ref="B41:C41"/>
    <mergeCell ref="B45:F45"/>
    <mergeCell ref="H45:I45"/>
  </mergeCells>
  <conditionalFormatting sqref="B46">
    <cfRule type="expression" dxfId="300" priority="8">
      <formula>#REF!&lt;&gt;"Prescriptive Path"</formula>
    </cfRule>
  </conditionalFormatting>
  <conditionalFormatting sqref="G46:G47">
    <cfRule type="expression" dxfId="299" priority="4">
      <formula>$B46="/"</formula>
    </cfRule>
    <cfRule type="expression" dxfId="298" priority="5">
      <formula>$B46="No evidence required at this submission stage"</formula>
    </cfRule>
  </conditionalFormatting>
  <conditionalFormatting sqref="H46:I47">
    <cfRule type="expression" dxfId="297" priority="2">
      <formula>$B46="No evidence required at this submission stage"</formula>
    </cfRule>
    <cfRule type="expression" dxfId="296" priority="3">
      <formula>$B46="/"</formula>
    </cfRule>
  </conditionalFormatting>
  <conditionalFormatting sqref="B47">
    <cfRule type="expression" dxfId="295" priority="1">
      <formula>#REF!&lt;&gt;"Prescriptive Path"</formula>
    </cfRule>
  </conditionalFormatting>
  <dataValidations count="4">
    <dataValidation type="list" allowBlank="1" showInputMessage="1" showErrorMessage="1" sqref="G46:G47">
      <formula1>"Select,Submitted,Not submitted"</formula1>
    </dataValidation>
    <dataValidation allowBlank="1" showInputMessage="1" showErrorMessage="1" prompt="Width of the opening at the top of the pot" sqref="D25:D35 H25"/>
    <dataValidation allowBlank="1" showInputMessage="1" showErrorMessage="1" prompt="Enter the name of the plant" sqref="B26:B35"/>
    <dataValidation type="list" allowBlank="1" showInputMessage="1" showErrorMessage="1" sqref="F26:F35">
      <formula1>"Select,Yes,No"</formula1>
    </dataValidation>
  </dataValidations>
  <hyperlinks>
    <hyperlink ref="J4" location="'H-2 CO2 Monitoring'!B3" tooltip="H-2" display="H-2"/>
    <hyperlink ref="J3" location="'H-1 Fresh Air Supply'!B3" tooltip="H-1" display="H-1"/>
    <hyperlink ref="J2" location="'H-PR-1 Indoor Smoking'!B3" tooltip="H-PR-1" display="H-PR-1"/>
    <hyperlink ref="K4" location="'H-6 Green Cleaning'!B3" tooltip="H-6" display="H-6"/>
    <hyperlink ref="K3" location="'H-4 Removal of pollutants'!B3" tooltip="H-4" display="H-4"/>
    <hyperlink ref="L3" location="'H-8 External Views'!B3" tooltip="H-8" display="H-8"/>
    <hyperlink ref="L4" location="'H-9 Lighting Comfort'!B3" tooltip="H-9" display="H-9"/>
    <hyperlink ref="L2" location="'H-7 Daylighting'!B3" tooltip="H-7" display="H-7"/>
    <hyperlink ref="M2" location="'H-10 Thermal Comfort'!B3" tooltip="H-10" display="H-10"/>
    <hyperlink ref="M4" location="'H-12 Post-occupancy Comfort'!B3" tooltip="H-12" display="H-12"/>
    <hyperlink ref="K2" location="'H-3 Low-VOC Emissions '!D3" tooltip="H-3" display="H-3"/>
    <hyperlink ref="M3" location="'H-11 Acoustic Comfort'!B3" tooltip="H-11" display="H-11"/>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43634"/>
  </sheetPr>
  <dimension ref="A1:N90"/>
  <sheetViews>
    <sheetView showGridLines="0" showRowColHeaders="0" zoomScaleNormal="100" workbookViewId="0">
      <pane ySplit="8" topLeftCell="A9" activePane="bottomLeft" state="frozen"/>
      <selection pane="bottomLeft" activeCell="A9" sqref="A9:M9"/>
    </sheetView>
  </sheetViews>
  <sheetFormatPr defaultColWidth="0" defaultRowHeight="15" customHeight="1" zeroHeight="1" x14ac:dyDescent="0.25"/>
  <cols>
    <col min="1" max="1" width="5.7109375" style="37" customWidth="1"/>
    <col min="2" max="2" width="19.7109375" style="37" customWidth="1"/>
    <col min="3" max="3" width="19.85546875" style="37" customWidth="1"/>
    <col min="4" max="6" width="18.42578125" style="37" customWidth="1"/>
    <col min="7" max="7" width="22.5703125" style="37" customWidth="1"/>
    <col min="8" max="8" width="20.5703125" style="37" customWidth="1"/>
    <col min="9" max="9" width="11.85546875" style="37" customWidth="1"/>
    <col min="10" max="13" width="8.28515625" style="37" customWidth="1"/>
    <col min="14" max="16384" width="9.140625" style="37" hidden="1"/>
  </cols>
  <sheetData>
    <row r="1" spans="1:13" ht="23.25" x14ac:dyDescent="0.25">
      <c r="A1" s="362" t="s">
        <v>482</v>
      </c>
      <c r="B1" s="140"/>
      <c r="C1" s="140"/>
      <c r="D1" s="140"/>
      <c r="E1" s="140"/>
      <c r="F1" s="140"/>
      <c r="G1" s="47"/>
      <c r="H1" s="47"/>
      <c r="I1" s="47"/>
      <c r="J1" s="47"/>
      <c r="K1" s="47"/>
      <c r="L1" s="47"/>
      <c r="M1" s="47"/>
    </row>
    <row r="2" spans="1:13" ht="15" customHeight="1" x14ac:dyDescent="0.25">
      <c r="A2" s="48"/>
      <c r="B2" s="49"/>
      <c r="C2" s="49"/>
      <c r="D2" s="49"/>
      <c r="E2" s="49"/>
      <c r="F2" s="48"/>
      <c r="G2" s="48"/>
      <c r="H2" s="1694" t="s">
        <v>1702</v>
      </c>
      <c r="I2" s="1694"/>
      <c r="J2" s="752" t="s">
        <v>340</v>
      </c>
      <c r="K2" s="752" t="s">
        <v>35</v>
      </c>
      <c r="L2" s="752" t="s">
        <v>314</v>
      </c>
      <c r="M2" s="752" t="s">
        <v>317</v>
      </c>
    </row>
    <row r="3" spans="1:13" ht="15" customHeight="1" x14ac:dyDescent="0.25">
      <c r="A3" s="48"/>
      <c r="B3" s="49"/>
      <c r="C3" s="49"/>
      <c r="D3" s="49"/>
      <c r="E3" s="49"/>
      <c r="F3" s="48"/>
      <c r="G3" s="48"/>
      <c r="H3" s="1694"/>
      <c r="I3" s="1694"/>
      <c r="J3" s="752" t="s">
        <v>30</v>
      </c>
      <c r="K3" s="752" t="s">
        <v>37</v>
      </c>
      <c r="L3" s="752" t="s">
        <v>315</v>
      </c>
      <c r="M3" s="752" t="s">
        <v>318</v>
      </c>
    </row>
    <row r="4" spans="1:13" ht="15" customHeight="1" x14ac:dyDescent="0.25">
      <c r="A4" s="48"/>
      <c r="B4" s="49"/>
      <c r="C4" s="49"/>
      <c r="D4" s="49"/>
      <c r="E4" s="49"/>
      <c r="F4" s="48"/>
      <c r="G4" s="48"/>
      <c r="H4" s="1695"/>
      <c r="I4" s="1695"/>
      <c r="J4" s="752" t="s">
        <v>32</v>
      </c>
      <c r="K4" s="752" t="s">
        <v>248</v>
      </c>
      <c r="L4" s="752" t="s">
        <v>316</v>
      </c>
      <c r="M4" s="752" t="s">
        <v>319</v>
      </c>
    </row>
    <row r="5" spans="1:13" ht="18" customHeight="1" x14ac:dyDescent="0.25">
      <c r="A5" s="1704" t="s">
        <v>2838</v>
      </c>
      <c r="B5" s="1705"/>
      <c r="C5" s="1705"/>
      <c r="D5" s="1705"/>
      <c r="E5" s="1705"/>
      <c r="F5" s="1705"/>
      <c r="G5" s="1705"/>
      <c r="H5" s="1705"/>
      <c r="I5" s="1705"/>
      <c r="J5" s="1705"/>
      <c r="K5" s="1705"/>
      <c r="L5" s="1705"/>
      <c r="M5" s="1706"/>
    </row>
    <row r="6" spans="1:13" ht="18" customHeight="1" x14ac:dyDescent="0.25">
      <c r="A6" s="1707"/>
      <c r="B6" s="1708"/>
      <c r="C6" s="1708"/>
      <c r="D6" s="1708"/>
      <c r="E6" s="1708"/>
      <c r="F6" s="1708"/>
      <c r="G6" s="1708"/>
      <c r="H6" s="1708"/>
      <c r="I6" s="1708"/>
      <c r="J6" s="1708"/>
      <c r="K6" s="1708"/>
      <c r="L6" s="1708"/>
      <c r="M6" s="1709"/>
    </row>
    <row r="7" spans="1:13" ht="18" customHeight="1" x14ac:dyDescent="0.25">
      <c r="A7" s="1710"/>
      <c r="B7" s="1711"/>
      <c r="C7" s="1711"/>
      <c r="D7" s="1711"/>
      <c r="E7" s="1711"/>
      <c r="F7" s="1711"/>
      <c r="G7" s="1711"/>
      <c r="H7" s="1711"/>
      <c r="I7" s="1711"/>
      <c r="J7" s="1711"/>
      <c r="K7" s="1711"/>
      <c r="L7" s="1711"/>
      <c r="M7" s="1712"/>
    </row>
    <row r="8" spans="1:13" ht="12" customHeight="1" x14ac:dyDescent="0.25">
      <c r="A8" s="48"/>
      <c r="B8" s="49"/>
      <c r="C8" s="49"/>
      <c r="D8" s="49"/>
      <c r="E8" s="49"/>
      <c r="F8" s="48"/>
      <c r="G8" s="48"/>
      <c r="H8" s="48"/>
      <c r="I8" s="48"/>
      <c r="J8" s="48"/>
      <c r="K8" s="48"/>
      <c r="L8" s="48"/>
      <c r="M8" s="48"/>
    </row>
    <row r="9" spans="1:13" ht="18" customHeight="1" x14ac:dyDescent="0.25">
      <c r="A9" s="2092" t="s">
        <v>95</v>
      </c>
      <c r="B9" s="2092"/>
      <c r="C9" s="2092"/>
      <c r="D9" s="2092"/>
      <c r="E9" s="2092"/>
      <c r="F9" s="2092"/>
      <c r="G9" s="2092"/>
      <c r="H9" s="2092"/>
      <c r="I9" s="2092"/>
      <c r="J9" s="2092"/>
      <c r="K9" s="2092"/>
      <c r="L9" s="2092"/>
      <c r="M9" s="2092"/>
    </row>
    <row r="10" spans="1:13" x14ac:dyDescent="0.25">
      <c r="A10" s="48"/>
      <c r="B10" s="49"/>
      <c r="C10" s="49"/>
      <c r="D10" s="49"/>
      <c r="E10" s="49"/>
      <c r="F10" s="48"/>
      <c r="G10" s="48"/>
      <c r="H10" s="48"/>
      <c r="I10" s="48"/>
      <c r="J10" s="48"/>
      <c r="K10" s="48"/>
      <c r="L10" s="48"/>
      <c r="M10" s="48"/>
    </row>
    <row r="11" spans="1:13" ht="21" customHeight="1" x14ac:dyDescent="0.25">
      <c r="A11" s="48"/>
      <c r="B11" s="2097" t="s">
        <v>96</v>
      </c>
      <c r="C11" s="2098"/>
      <c r="D11" s="2098"/>
      <c r="E11" s="2098"/>
      <c r="F11" s="677" t="s">
        <v>75</v>
      </c>
      <c r="G11" s="677" t="s">
        <v>19</v>
      </c>
      <c r="H11" s="50" t="s">
        <v>151</v>
      </c>
      <c r="I11" s="48"/>
      <c r="J11" s="48"/>
      <c r="K11" s="48"/>
      <c r="L11" s="48"/>
      <c r="M11" s="48"/>
    </row>
    <row r="12" spans="1:13" ht="21" customHeight="1" x14ac:dyDescent="0.25">
      <c r="A12" s="48"/>
      <c r="B12" s="2105" t="s">
        <v>483</v>
      </c>
      <c r="C12" s="2106"/>
      <c r="D12" s="2106"/>
      <c r="E12" s="2107"/>
      <c r="F12" s="320">
        <v>1</v>
      </c>
      <c r="G12" s="320">
        <f>C49</f>
        <v>0</v>
      </c>
      <c r="H12" s="320" t="str">
        <f>C50</f>
        <v>No</v>
      </c>
      <c r="I12" s="48"/>
      <c r="J12" s="48"/>
      <c r="K12" s="48"/>
      <c r="L12" s="48"/>
      <c r="M12" s="48"/>
    </row>
    <row r="13" spans="1:13" ht="16.5" customHeight="1" x14ac:dyDescent="0.25">
      <c r="A13" s="48"/>
      <c r="B13" s="49"/>
      <c r="C13" s="49"/>
      <c r="D13" s="49"/>
      <c r="E13" s="49"/>
      <c r="F13" s="48"/>
      <c r="G13" s="48"/>
      <c r="H13" s="48"/>
      <c r="I13" s="48"/>
      <c r="J13" s="48"/>
      <c r="K13" s="48"/>
      <c r="L13" s="48"/>
      <c r="M13" s="48"/>
    </row>
    <row r="14" spans="1:13" ht="18" customHeight="1" x14ac:dyDescent="0.25">
      <c r="A14" s="2092" t="s">
        <v>117</v>
      </c>
      <c r="B14" s="2092"/>
      <c r="C14" s="2092"/>
      <c r="D14" s="2092"/>
      <c r="E14" s="2092"/>
      <c r="F14" s="2092"/>
      <c r="G14" s="2092"/>
      <c r="H14" s="2092"/>
      <c r="I14" s="2092"/>
      <c r="J14" s="2092"/>
      <c r="K14" s="2092"/>
      <c r="L14" s="2092"/>
      <c r="M14" s="2092"/>
    </row>
    <row r="15" spans="1:13" ht="12" customHeight="1" x14ac:dyDescent="0.25">
      <c r="A15" s="48"/>
      <c r="B15" s="49"/>
      <c r="C15" s="49"/>
      <c r="D15" s="49"/>
      <c r="E15" s="49"/>
      <c r="F15" s="48"/>
      <c r="G15" s="48"/>
      <c r="H15" s="48"/>
      <c r="I15" s="48"/>
      <c r="J15" s="48"/>
      <c r="K15" s="48"/>
      <c r="L15" s="48"/>
      <c r="M15" s="48"/>
    </row>
    <row r="16" spans="1:13" x14ac:dyDescent="0.25">
      <c r="A16" s="48"/>
      <c r="B16" s="625" t="s">
        <v>1037</v>
      </c>
      <c r="C16" s="49"/>
      <c r="D16" s="49"/>
      <c r="E16" s="49"/>
      <c r="F16" s="48"/>
      <c r="G16" s="48"/>
      <c r="H16" s="48"/>
      <c r="I16" s="48"/>
      <c r="J16" s="48"/>
      <c r="K16" s="48"/>
      <c r="L16" s="48"/>
      <c r="M16" s="48"/>
    </row>
    <row r="17" spans="1:14" x14ac:dyDescent="0.25">
      <c r="A17" s="48"/>
      <c r="B17" s="49"/>
      <c r="C17" s="49"/>
      <c r="D17" s="49"/>
      <c r="E17" s="49"/>
      <c r="F17" s="48"/>
      <c r="G17" s="48"/>
      <c r="H17" s="48"/>
      <c r="I17" s="48"/>
      <c r="J17" s="48"/>
      <c r="K17" s="48"/>
      <c r="L17" s="48"/>
      <c r="M17" s="48"/>
    </row>
    <row r="18" spans="1:14" ht="16.5" customHeight="1" x14ac:dyDescent="0.25">
      <c r="A18" s="48"/>
      <c r="B18" s="558" t="s">
        <v>823</v>
      </c>
      <c r="C18" s="586"/>
      <c r="D18" s="586"/>
      <c r="E18" s="586"/>
      <c r="F18" s="586"/>
      <c r="G18" s="586"/>
      <c r="H18" s="586"/>
      <c r="I18" s="586"/>
      <c r="J18" s="587"/>
      <c r="K18" s="48"/>
      <c r="L18" s="48"/>
      <c r="M18" s="48"/>
    </row>
    <row r="19" spans="1:14" ht="16.5" customHeight="1" x14ac:dyDescent="0.25">
      <c r="A19" s="48"/>
      <c r="B19" s="1755" t="s">
        <v>2101</v>
      </c>
      <c r="C19" s="1756"/>
      <c r="D19" s="1756"/>
      <c r="E19" s="1756"/>
      <c r="F19" s="1756"/>
      <c r="G19" s="1756"/>
      <c r="H19" s="1756"/>
      <c r="I19" s="1756"/>
      <c r="J19" s="1757"/>
      <c r="K19" s="48"/>
      <c r="L19" s="48"/>
      <c r="M19" s="48"/>
    </row>
    <row r="20" spans="1:14" x14ac:dyDescent="0.25">
      <c r="A20" s="48"/>
      <c r="B20" s="2162" t="s">
        <v>828</v>
      </c>
      <c r="C20" s="2163"/>
      <c r="D20" s="2163"/>
      <c r="E20" s="2163"/>
      <c r="F20" s="2163"/>
      <c r="G20" s="2163"/>
      <c r="H20" s="2163"/>
      <c r="I20" s="2163"/>
      <c r="J20" s="2164"/>
      <c r="K20" s="48"/>
      <c r="L20" s="48"/>
      <c r="M20" s="48"/>
    </row>
    <row r="21" spans="1:14" x14ac:dyDescent="0.25">
      <c r="A21" s="48"/>
      <c r="B21" s="2162" t="s">
        <v>827</v>
      </c>
      <c r="C21" s="2163"/>
      <c r="D21" s="2163"/>
      <c r="E21" s="2163"/>
      <c r="F21" s="2163"/>
      <c r="G21" s="2163"/>
      <c r="H21" s="2163"/>
      <c r="I21" s="2163"/>
      <c r="J21" s="2164"/>
      <c r="K21" s="48"/>
      <c r="L21" s="48"/>
      <c r="M21" s="48"/>
    </row>
    <row r="22" spans="1:14" x14ac:dyDescent="0.25">
      <c r="A22" s="48"/>
      <c r="B22" s="2162" t="s">
        <v>2797</v>
      </c>
      <c r="C22" s="2163"/>
      <c r="D22" s="2163"/>
      <c r="E22" s="2163"/>
      <c r="F22" s="2163"/>
      <c r="G22" s="2163"/>
      <c r="H22" s="2163"/>
      <c r="I22" s="2163"/>
      <c r="J22" s="2164"/>
      <c r="K22" s="48"/>
      <c r="L22" s="48"/>
      <c r="M22" s="48"/>
    </row>
    <row r="23" spans="1:14" x14ac:dyDescent="0.25">
      <c r="A23" s="48"/>
      <c r="B23" s="2162" t="s">
        <v>826</v>
      </c>
      <c r="C23" s="2163"/>
      <c r="D23" s="2163"/>
      <c r="E23" s="2163"/>
      <c r="F23" s="2163"/>
      <c r="G23" s="2163"/>
      <c r="H23" s="2163"/>
      <c r="I23" s="2163"/>
      <c r="J23" s="2164"/>
      <c r="K23" s="48"/>
      <c r="L23" s="48"/>
      <c r="M23" s="48"/>
    </row>
    <row r="24" spans="1:14" ht="15" customHeight="1" x14ac:dyDescent="0.25">
      <c r="A24" s="48"/>
      <c r="B24" s="2162" t="s">
        <v>824</v>
      </c>
      <c r="C24" s="2163"/>
      <c r="D24" s="2163"/>
      <c r="E24" s="2163"/>
      <c r="F24" s="2163"/>
      <c r="G24" s="2163"/>
      <c r="H24" s="2163"/>
      <c r="I24" s="2163"/>
      <c r="J24" s="2164"/>
      <c r="K24" s="48"/>
      <c r="L24" s="48"/>
      <c r="M24" s="48"/>
    </row>
    <row r="25" spans="1:14" ht="30" customHeight="1" x14ac:dyDescent="0.25">
      <c r="A25" s="48"/>
      <c r="B25" s="2170" t="s">
        <v>1835</v>
      </c>
      <c r="C25" s="2171"/>
      <c r="D25" s="2171"/>
      <c r="E25" s="2171"/>
      <c r="F25" s="2171"/>
      <c r="G25" s="2171"/>
      <c r="H25" s="2171"/>
      <c r="I25" s="2171"/>
      <c r="J25" s="2172"/>
      <c r="K25" s="48"/>
      <c r="L25" s="48"/>
      <c r="M25" s="48"/>
    </row>
    <row r="26" spans="1:14" x14ac:dyDescent="0.25">
      <c r="A26" s="48"/>
      <c r="B26" s="49"/>
      <c r="C26" s="49"/>
      <c r="D26" s="49"/>
      <c r="E26" s="49"/>
      <c r="F26" s="48"/>
      <c r="G26" s="48"/>
      <c r="H26" s="48"/>
      <c r="I26" s="48"/>
      <c r="J26" s="48"/>
      <c r="K26" s="48"/>
      <c r="L26" s="48"/>
      <c r="M26" s="48"/>
    </row>
    <row r="27" spans="1:14" x14ac:dyDescent="0.25">
      <c r="A27" s="48"/>
      <c r="B27" s="671" t="s">
        <v>1127</v>
      </c>
      <c r="C27" s="49"/>
      <c r="D27" s="49"/>
      <c r="E27" s="49"/>
      <c r="F27" s="48"/>
      <c r="G27" s="48"/>
      <c r="H27" s="48"/>
      <c r="I27" s="48"/>
      <c r="J27" s="48"/>
      <c r="K27" s="48"/>
      <c r="L27" s="48"/>
      <c r="M27" s="48"/>
    </row>
    <row r="28" spans="1:14" ht="11.25" customHeight="1" x14ac:dyDescent="0.25">
      <c r="A28" s="48"/>
      <c r="B28" s="49"/>
      <c r="C28" s="49"/>
      <c r="D28" s="49"/>
      <c r="E28" s="49"/>
      <c r="F28" s="48"/>
      <c r="G28" s="48"/>
      <c r="H28" s="48"/>
      <c r="I28" s="48"/>
      <c r="J28" s="48"/>
      <c r="K28" s="48"/>
      <c r="L28" s="48"/>
      <c r="M28" s="48"/>
    </row>
    <row r="29" spans="1:14" ht="19.5" customHeight="1" x14ac:dyDescent="0.25">
      <c r="A29" s="48"/>
      <c r="B29" s="255" t="s">
        <v>1129</v>
      </c>
      <c r="C29" s="256" t="s">
        <v>825</v>
      </c>
      <c r="D29" s="2110" t="s">
        <v>1128</v>
      </c>
      <c r="E29" s="2110"/>
      <c r="F29" s="2110" t="s">
        <v>15</v>
      </c>
      <c r="G29" s="2110"/>
      <c r="H29" s="48"/>
      <c r="I29" s="48"/>
      <c r="J29" s="48"/>
      <c r="K29" s="48"/>
      <c r="L29" s="48"/>
      <c r="M29" s="48"/>
      <c r="N29" s="48"/>
    </row>
    <row r="30" spans="1:14" x14ac:dyDescent="0.25">
      <c r="A30" s="48"/>
      <c r="B30" s="919"/>
      <c r="C30" s="920" t="s">
        <v>62</v>
      </c>
      <c r="D30" s="1625" t="s">
        <v>62</v>
      </c>
      <c r="E30" s="1626"/>
      <c r="F30" s="1625"/>
      <c r="G30" s="1626"/>
      <c r="H30" s="48"/>
      <c r="I30" s="48"/>
      <c r="J30" s="48"/>
      <c r="K30" s="48"/>
      <c r="L30" s="48"/>
      <c r="M30" s="48"/>
      <c r="N30" s="37" t="str">
        <f>IF(AND(C30&lt;&gt;"Select",C30&lt;&gt;""),IF(AND(D30&lt;&gt;"No",D30&lt;&gt;"Select"),"Yes","No"),"")</f>
        <v/>
      </c>
    </row>
    <row r="31" spans="1:14" x14ac:dyDescent="0.25">
      <c r="A31" s="48"/>
      <c r="B31" s="919"/>
      <c r="C31" s="920" t="s">
        <v>62</v>
      </c>
      <c r="D31" s="1625" t="s">
        <v>62</v>
      </c>
      <c r="E31" s="1626"/>
      <c r="F31" s="1625"/>
      <c r="G31" s="1626"/>
      <c r="H31" s="48"/>
      <c r="I31" s="48"/>
      <c r="J31" s="48"/>
      <c r="K31" s="48"/>
      <c r="L31" s="48"/>
      <c r="M31" s="48"/>
      <c r="N31" s="37" t="str">
        <f>IF(AND(C31&lt;&gt;"Select",C31&lt;&gt;""),IF(AND(D31&lt;&gt;"No",D31&lt;&gt;"Select"),"Yes","No"),"")</f>
        <v/>
      </c>
    </row>
    <row r="32" spans="1:14" x14ac:dyDescent="0.25">
      <c r="A32" s="48"/>
      <c r="B32" s="919"/>
      <c r="C32" s="920" t="s">
        <v>62</v>
      </c>
      <c r="D32" s="1625" t="s">
        <v>62</v>
      </c>
      <c r="E32" s="1626"/>
      <c r="F32" s="1625"/>
      <c r="G32" s="1626"/>
      <c r="H32" s="48"/>
      <c r="I32" s="48"/>
      <c r="J32" s="48"/>
      <c r="K32" s="48"/>
      <c r="L32" s="48"/>
      <c r="M32" s="48"/>
      <c r="N32" s="37" t="str">
        <f>IF(AND(C32&lt;&gt;"Select",C32&lt;&gt;""),IF(AND(D32&lt;&gt;"No",D32&lt;&gt;"Select"),"Yes","No"),"")</f>
        <v/>
      </c>
    </row>
    <row r="33" spans="1:14" x14ac:dyDescent="0.25">
      <c r="A33" s="48"/>
      <c r="B33" s="919"/>
      <c r="C33" s="920" t="s">
        <v>62</v>
      </c>
      <c r="D33" s="1625" t="s">
        <v>62</v>
      </c>
      <c r="E33" s="1626"/>
      <c r="F33" s="1625"/>
      <c r="G33" s="1626"/>
      <c r="H33" s="48"/>
      <c r="I33" s="48"/>
      <c r="J33" s="48"/>
      <c r="K33" s="48"/>
      <c r="L33" s="48"/>
      <c r="M33" s="48"/>
      <c r="N33" s="37" t="str">
        <f>IF(AND(C33&lt;&gt;"Select",C33&lt;&gt;""),IF(AND(D33&lt;&gt;"No",D33&lt;&gt;"Select"),"Yes","No"),"")</f>
        <v/>
      </c>
    </row>
    <row r="34" spans="1:14" x14ac:dyDescent="0.25">
      <c r="A34" s="48"/>
      <c r="B34" s="919"/>
      <c r="C34" s="920" t="s">
        <v>62</v>
      </c>
      <c r="D34" s="1625" t="s">
        <v>62</v>
      </c>
      <c r="E34" s="1626"/>
      <c r="F34" s="1625"/>
      <c r="G34" s="1626"/>
      <c r="H34" s="48"/>
      <c r="I34" s="48"/>
      <c r="J34" s="48"/>
      <c r="K34" s="48"/>
      <c r="L34" s="48"/>
      <c r="M34" s="48"/>
      <c r="N34" s="37" t="str">
        <f>IF(AND(C34&lt;&gt;"Select",C34&lt;&gt;""),IF(AND(D34&lt;&gt;"No",D34&lt;&gt;"Select"),"Yes","No"),"")</f>
        <v/>
      </c>
    </row>
    <row r="35" spans="1:14" x14ac:dyDescent="0.25">
      <c r="A35" s="48"/>
      <c r="B35" s="49"/>
      <c r="C35" s="49"/>
      <c r="D35" s="49"/>
      <c r="E35" s="49"/>
      <c r="F35" s="48"/>
      <c r="G35" s="48"/>
      <c r="H35" s="48"/>
      <c r="I35" s="48"/>
      <c r="J35" s="48"/>
      <c r="K35" s="48"/>
      <c r="L35" s="48"/>
      <c r="M35" s="48"/>
    </row>
    <row r="36" spans="1:14" x14ac:dyDescent="0.25">
      <c r="A36" s="48"/>
      <c r="B36" s="2165" t="s">
        <v>1648</v>
      </c>
      <c r="C36" s="2166"/>
      <c r="D36" s="2166"/>
      <c r="E36" s="2166"/>
      <c r="F36" s="2166"/>
      <c r="G36" s="2166"/>
      <c r="H36" s="48"/>
      <c r="I36" s="48"/>
      <c r="J36" s="48"/>
      <c r="K36" s="48"/>
      <c r="L36" s="48"/>
      <c r="M36" s="48"/>
    </row>
    <row r="37" spans="1:14" ht="51" customHeight="1" x14ac:dyDescent="0.25">
      <c r="A37" s="48"/>
      <c r="B37" s="2167"/>
      <c r="C37" s="2168"/>
      <c r="D37" s="2168"/>
      <c r="E37" s="2168"/>
      <c r="F37" s="2168"/>
      <c r="G37" s="2169"/>
      <c r="H37" s="48"/>
      <c r="I37" s="48"/>
      <c r="J37" s="48"/>
      <c r="K37" s="48"/>
      <c r="L37" s="48"/>
      <c r="M37" s="48"/>
    </row>
    <row r="38" spans="1:14" x14ac:dyDescent="0.25">
      <c r="A38" s="48"/>
      <c r="B38" s="49"/>
      <c r="C38" s="49"/>
      <c r="D38" s="49"/>
      <c r="E38" s="49"/>
      <c r="F38" s="48"/>
      <c r="G38" s="48"/>
      <c r="H38" s="48"/>
      <c r="I38" s="48"/>
      <c r="J38" s="48"/>
      <c r="K38" s="48"/>
      <c r="L38" s="48"/>
      <c r="M38" s="48"/>
    </row>
    <row r="39" spans="1:14" ht="18" customHeight="1" x14ac:dyDescent="0.25">
      <c r="A39" s="48"/>
      <c r="B39" s="2102" t="s">
        <v>765</v>
      </c>
      <c r="C39" s="2102"/>
      <c r="D39" s="70" t="str">
        <f>IF(COUNTIF(N30:N34,"No")&gt;0,"No",IF(AND(B37&lt;&gt;"",COUNTIF(N30:N34,"Yes")&gt;0),"Yes","No"))</f>
        <v>No</v>
      </c>
      <c r="E39" s="48"/>
      <c r="F39" s="48"/>
      <c r="G39" s="48"/>
      <c r="H39" s="48"/>
      <c r="I39" s="48"/>
      <c r="J39" s="48"/>
      <c r="K39" s="48"/>
      <c r="L39" s="48"/>
      <c r="M39" s="48"/>
    </row>
    <row r="40" spans="1:14" ht="20.25" customHeight="1" x14ac:dyDescent="0.25">
      <c r="A40" s="48"/>
      <c r="B40" s="49"/>
      <c r="C40" s="49"/>
      <c r="D40" s="49"/>
      <c r="E40" s="48"/>
      <c r="F40" s="48"/>
      <c r="G40" s="48"/>
      <c r="H40" s="48"/>
      <c r="I40" s="48"/>
      <c r="J40" s="48"/>
      <c r="K40" s="48"/>
      <c r="L40" s="48"/>
      <c r="M40" s="48"/>
    </row>
    <row r="41" spans="1:14" ht="18" customHeight="1" x14ac:dyDescent="0.25">
      <c r="A41" s="2092" t="s">
        <v>97</v>
      </c>
      <c r="B41" s="2092"/>
      <c r="C41" s="2092"/>
      <c r="D41" s="2092"/>
      <c r="E41" s="2092"/>
      <c r="F41" s="2092"/>
      <c r="G41" s="2092"/>
      <c r="H41" s="2092"/>
      <c r="I41" s="2092"/>
      <c r="J41" s="2092"/>
      <c r="K41" s="2092"/>
      <c r="L41" s="2092"/>
      <c r="M41" s="2092"/>
    </row>
    <row r="42" spans="1:14" x14ac:dyDescent="0.25">
      <c r="A42" s="48"/>
      <c r="B42" s="49"/>
      <c r="C42" s="49"/>
      <c r="D42" s="49"/>
      <c r="E42" s="48"/>
      <c r="F42" s="48"/>
      <c r="G42" s="48"/>
      <c r="H42" s="48"/>
      <c r="I42" s="48"/>
      <c r="J42" s="48"/>
      <c r="K42" s="48"/>
      <c r="L42" s="48"/>
      <c r="M42" s="48"/>
    </row>
    <row r="43" spans="1:14" ht="21" customHeight="1" x14ac:dyDescent="0.25">
      <c r="A43" s="48"/>
      <c r="B43" s="2093" t="s">
        <v>98</v>
      </c>
      <c r="C43" s="2094"/>
      <c r="D43" s="2094"/>
      <c r="E43" s="2094"/>
      <c r="F43" s="2094"/>
      <c r="G43" s="256" t="s">
        <v>1297</v>
      </c>
      <c r="H43" s="2095" t="s">
        <v>1298</v>
      </c>
      <c r="I43" s="2095"/>
      <c r="J43" s="48"/>
      <c r="K43" s="48"/>
      <c r="L43" s="48"/>
      <c r="M43" s="48"/>
    </row>
    <row r="44" spans="1:14" ht="42" customHeight="1" x14ac:dyDescent="0.25">
      <c r="A44" s="48"/>
      <c r="B44" s="1644" t="str">
        <f>Submittals!H103</f>
        <v>Select the Submission Stage in Project Information</v>
      </c>
      <c r="C44" s="1645"/>
      <c r="D44" s="1645"/>
      <c r="E44" s="1645"/>
      <c r="F44" s="1645"/>
      <c r="G44" s="1251" t="s">
        <v>62</v>
      </c>
      <c r="H44" s="1625"/>
      <c r="I44" s="1626"/>
      <c r="J44" s="48"/>
      <c r="K44" s="48"/>
      <c r="L44" s="48"/>
      <c r="M44" s="48"/>
      <c r="N44" s="37" t="str">
        <f>IF(OR(B44="/",B44="No evidence required at this submission stage"),"Yes",IF(OR(G44="Already approved at PC",G44="Submitted"),"Yes","No"))</f>
        <v>No</v>
      </c>
    </row>
    <row r="45" spans="1:14" ht="20.25" hidden="1" customHeight="1" x14ac:dyDescent="0.25">
      <c r="A45" s="48"/>
      <c r="B45" s="2001" t="str">
        <f>Submittals!G104</f>
        <v>• Not available in the draft version of LOTUS Interiors Pilot</v>
      </c>
      <c r="C45" s="2002"/>
      <c r="D45" s="2002"/>
      <c r="E45" s="2002"/>
      <c r="F45" s="2002"/>
      <c r="G45" s="810" t="s">
        <v>62</v>
      </c>
      <c r="H45" s="1625"/>
      <c r="I45" s="1626"/>
      <c r="J45" s="48"/>
      <c r="K45" s="48"/>
      <c r="L45" s="48"/>
      <c r="M45" s="48"/>
      <c r="N45" s="37" t="str">
        <f>IF(OR(B45="/",B45="No evidence required at this submission stage"),"Yes",IF(G45="Submitted","Yes","No"))</f>
        <v>No</v>
      </c>
    </row>
    <row r="46" spans="1:14" ht="20.25" customHeight="1" x14ac:dyDescent="0.25">
      <c r="A46" s="48"/>
      <c r="B46" s="49"/>
      <c r="C46" s="49"/>
      <c r="D46" s="49"/>
      <c r="E46" s="48"/>
      <c r="F46" s="48"/>
      <c r="G46" s="48"/>
      <c r="H46" s="48"/>
      <c r="I46" s="48"/>
      <c r="J46" s="48"/>
      <c r="K46" s="48"/>
      <c r="L46" s="48"/>
      <c r="M46" s="48"/>
    </row>
    <row r="47" spans="1:14" ht="18" customHeight="1" x14ac:dyDescent="0.25">
      <c r="A47" s="2092" t="s">
        <v>8</v>
      </c>
      <c r="B47" s="2092"/>
      <c r="C47" s="2092"/>
      <c r="D47" s="2092"/>
      <c r="E47" s="2092"/>
      <c r="F47" s="2092"/>
      <c r="G47" s="2092"/>
      <c r="H47" s="2092"/>
      <c r="I47" s="2092"/>
      <c r="J47" s="2092"/>
      <c r="K47" s="2092"/>
      <c r="L47" s="2092"/>
      <c r="M47" s="2092"/>
    </row>
    <row r="48" spans="1:14" ht="15.75" customHeight="1" x14ac:dyDescent="0.25">
      <c r="A48" s="48"/>
      <c r="B48" s="49"/>
      <c r="C48" s="49"/>
      <c r="D48" s="49"/>
      <c r="E48" s="49"/>
      <c r="F48" s="48"/>
      <c r="G48" s="48"/>
      <c r="H48" s="48"/>
      <c r="I48" s="48"/>
      <c r="J48" s="48"/>
      <c r="K48" s="48"/>
      <c r="L48" s="48"/>
      <c r="M48" s="48"/>
    </row>
    <row r="49" spans="1:13" ht="18" customHeight="1" x14ac:dyDescent="0.25">
      <c r="A49" s="48"/>
      <c r="B49" s="115" t="s">
        <v>19</v>
      </c>
      <c r="C49" s="116">
        <f>IF(D39="Yes",1,0)</f>
        <v>0</v>
      </c>
      <c r="D49" s="49"/>
      <c r="E49" s="48"/>
      <c r="F49" s="48"/>
      <c r="G49" s="48"/>
      <c r="H49" s="48"/>
      <c r="I49" s="48"/>
      <c r="J49" s="48"/>
      <c r="K49" s="48"/>
      <c r="L49" s="48"/>
      <c r="M49" s="48"/>
    </row>
    <row r="50" spans="1:13" ht="18" customHeight="1" x14ac:dyDescent="0.25">
      <c r="A50" s="48"/>
      <c r="B50" s="117" t="s">
        <v>151</v>
      </c>
      <c r="C50" s="7" t="str">
        <f>IF(AND(COUNTIF(N44:N44,"Yes")=1,C49&gt;0),"Yes","No")</f>
        <v>No</v>
      </c>
      <c r="D50" s="49"/>
      <c r="E50" s="49"/>
      <c r="F50" s="48"/>
      <c r="G50" s="48"/>
      <c r="H50" s="48"/>
      <c r="I50" s="48"/>
      <c r="J50" s="48"/>
      <c r="K50" s="48"/>
      <c r="L50" s="48"/>
      <c r="M50" s="48"/>
    </row>
    <row r="51" spans="1:13" ht="19.5" customHeight="1" x14ac:dyDescent="0.25">
      <c r="A51" s="48"/>
      <c r="B51" s="49"/>
      <c r="C51" s="49"/>
      <c r="D51" s="49"/>
      <c r="E51" s="49"/>
      <c r="F51" s="48"/>
      <c r="G51" s="48"/>
      <c r="H51" s="48"/>
      <c r="I51" s="48"/>
      <c r="J51" s="48"/>
      <c r="K51" s="48"/>
      <c r="L51" s="48"/>
      <c r="M51" s="48"/>
    </row>
    <row r="52" spans="1:13" hidden="1" x14ac:dyDescent="0.25">
      <c r="J52" s="48"/>
      <c r="K52" s="48"/>
      <c r="L52" s="48"/>
      <c r="M52" s="48"/>
    </row>
    <row r="53" spans="1:13" hidden="1" x14ac:dyDescent="0.25">
      <c r="J53" s="48"/>
      <c r="K53" s="48"/>
      <c r="L53" s="48"/>
      <c r="M53" s="48"/>
    </row>
    <row r="54" spans="1:13" hidden="1" x14ac:dyDescent="0.25">
      <c r="J54" s="48"/>
      <c r="K54" s="48"/>
      <c r="L54" s="48"/>
      <c r="M54" s="48"/>
    </row>
    <row r="55" spans="1:13" hidden="1" x14ac:dyDescent="0.25"/>
    <row r="56" spans="1:13" hidden="1" x14ac:dyDescent="0.25"/>
    <row r="57" spans="1:13" hidden="1" x14ac:dyDescent="0.25"/>
    <row r="58" spans="1:13" hidden="1" x14ac:dyDescent="0.25"/>
    <row r="59" spans="1:13" hidden="1" x14ac:dyDescent="0.25"/>
    <row r="60" spans="1:13" hidden="1" x14ac:dyDescent="0.25"/>
    <row r="61" spans="1:13" hidden="1" x14ac:dyDescent="0.25"/>
    <row r="62" spans="1:13" hidden="1" x14ac:dyDescent="0.25"/>
    <row r="63" spans="1:13" hidden="1" x14ac:dyDescent="0.25"/>
    <row r="64" spans="1:13"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sheetData>
  <sheetProtection algorithmName="SHA-512" hashValue="LMNmyce4phAG3/OLvBt3GschvIa8Eew1f7ybNcyYlTWax2X871De+5ofaOoFFN7PhdCiFI5BMkzCMVp8NP4OsQ==" saltValue="hPwlCsS/LjqjtugyDm+j2g==" spinCount="100000" sheet="1" objects="1" scenarios="1"/>
  <dataConsolidate/>
  <mergeCells count="36">
    <mergeCell ref="H43:I43"/>
    <mergeCell ref="H44:I44"/>
    <mergeCell ref="H45:I45"/>
    <mergeCell ref="A47:M47"/>
    <mergeCell ref="A41:M41"/>
    <mergeCell ref="A14:M14"/>
    <mergeCell ref="A9:M9"/>
    <mergeCell ref="B25:J25"/>
    <mergeCell ref="D29:E29"/>
    <mergeCell ref="D30:E30"/>
    <mergeCell ref="B19:J19"/>
    <mergeCell ref="B20:J20"/>
    <mergeCell ref="B21:J21"/>
    <mergeCell ref="B23:J23"/>
    <mergeCell ref="B22:J22"/>
    <mergeCell ref="D34:E34"/>
    <mergeCell ref="F29:G29"/>
    <mergeCell ref="F30:G30"/>
    <mergeCell ref="F31:G31"/>
    <mergeCell ref="F34:G34"/>
    <mergeCell ref="B39:C39"/>
    <mergeCell ref="B44:F44"/>
    <mergeCell ref="B45:F45"/>
    <mergeCell ref="H2:I4"/>
    <mergeCell ref="A5:M7"/>
    <mergeCell ref="B11:E11"/>
    <mergeCell ref="B12:E12"/>
    <mergeCell ref="B24:J24"/>
    <mergeCell ref="D32:E32"/>
    <mergeCell ref="F32:G32"/>
    <mergeCell ref="D33:E33"/>
    <mergeCell ref="F33:G33"/>
    <mergeCell ref="B43:F43"/>
    <mergeCell ref="B36:G36"/>
    <mergeCell ref="B37:G37"/>
    <mergeCell ref="D31:E31"/>
  </mergeCells>
  <conditionalFormatting sqref="B44:B45">
    <cfRule type="expression" dxfId="294" priority="9">
      <formula>#REF!&lt;&gt;"Prescriptive Path"</formula>
    </cfRule>
  </conditionalFormatting>
  <conditionalFormatting sqref="G45">
    <cfRule type="expression" dxfId="293" priority="5">
      <formula>$B45="/"</formula>
    </cfRule>
    <cfRule type="expression" dxfId="292" priority="6">
      <formula>$B45="No evidence required at this submission stage"</formula>
    </cfRule>
  </conditionalFormatting>
  <conditionalFormatting sqref="H44:I45">
    <cfRule type="expression" dxfId="291" priority="3">
      <formula>$B44="No evidence required at this submission stage"</formula>
    </cfRule>
    <cfRule type="expression" dxfId="290" priority="4">
      <formula>$B44="/"</formula>
    </cfRule>
  </conditionalFormatting>
  <conditionalFormatting sqref="G44">
    <cfRule type="expression" dxfId="289" priority="1">
      <formula>$B44="/"</formula>
    </cfRule>
    <cfRule type="expression" dxfId="288" priority="2">
      <formula>$B44="No evidence required at this submission stage"</formula>
    </cfRule>
  </conditionalFormatting>
  <dataValidations count="4">
    <dataValidation type="list" allowBlank="1" showInputMessage="1" showErrorMessage="1" sqref="G45">
      <formula1>"Select,Submitted,Not submitted"</formula1>
    </dataValidation>
    <dataValidation type="list" allowBlank="1" showInputMessage="1" showErrorMessage="1" sqref="C30:C34">
      <formula1>"Select,All-purpose cleaner, Floor cleaner, Surface cleaner"</formula1>
    </dataValidation>
    <dataValidation type="list" allowBlank="1" showInputMessage="1" showErrorMessage="1" sqref="D30:E34">
      <formula1>"Select,Natural product, Certified by Green Seal, Certified by SGLS, Certified by Safer Choice, Certified by EPD Hong Kong, Certified by another scheme, Compliant with Green Specifications,No"</formula1>
    </dataValidation>
    <dataValidation type="list" allowBlank="1" showInputMessage="1" showErrorMessage="1" sqref="G44">
      <formula1>Sub_FC</formula1>
    </dataValidation>
  </dataValidations>
  <hyperlinks>
    <hyperlink ref="M2" location="'H-10 Thermal Comfort'!B3" tooltip="H-10" display="H-10"/>
    <hyperlink ref="L3" location="'H-8 External Views'!B3" tooltip="H-8" display="H-8"/>
    <hyperlink ref="L4" location="'H-9 Lighting Comfort'!B3" tooltip="H-9" display="H-9"/>
    <hyperlink ref="L2" location="'H-7 Daylighting'!B3" tooltip="H-7" display="H-7"/>
    <hyperlink ref="J4" location="'H-2 CO2 Monitoring'!B3" tooltip="H-2" display="H-2"/>
    <hyperlink ref="J3" location="'H-1 Fresh Air Supply'!B3" tooltip="H-1" display="H-1"/>
    <hyperlink ref="J2" location="'H-PR-1 Indoor Smoking'!B3" tooltip="H-PR-1" display="H-PR-1"/>
    <hyperlink ref="K4" location="'H-5 Interior Plants'!B3" tooltip="H-5" display="H-5"/>
    <hyperlink ref="M4" location="'H-12 Post-occupancy Comfort'!B3" tooltip="H-12" display="H-12"/>
    <hyperlink ref="K3" location="'H-4 Removal of pollutants'!B3" tooltip="H-4" display="H-4"/>
    <hyperlink ref="K2" location="'H-3 Low-VOC Emissions '!D3" tooltip="H-3" display="H-3"/>
    <hyperlink ref="M3" location="'H-11 Acoustic Comfort'!B3" tooltip="H-11" display="H-11"/>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43634"/>
  </sheetPr>
  <dimension ref="A1:AQ207"/>
  <sheetViews>
    <sheetView showRowColHeaders="0" workbookViewId="0">
      <pane ySplit="8" topLeftCell="A9" activePane="bottomLeft" state="frozen"/>
      <selection pane="bottomLeft" activeCell="A8" sqref="A8"/>
    </sheetView>
  </sheetViews>
  <sheetFormatPr defaultColWidth="0" defaultRowHeight="15" customHeight="1" zeroHeight="1" x14ac:dyDescent="0.25"/>
  <cols>
    <col min="1" max="1" width="4.85546875" style="37" customWidth="1"/>
    <col min="2" max="2" width="18.7109375" style="37" customWidth="1"/>
    <col min="3" max="3" width="12.7109375" style="37" customWidth="1"/>
    <col min="4" max="5" width="13.7109375" style="37" customWidth="1"/>
    <col min="6" max="8" width="8.7109375" style="37" customWidth="1"/>
    <col min="9" max="9" width="11.7109375" style="37" customWidth="1"/>
    <col min="10" max="11" width="9.7109375" style="37" customWidth="1"/>
    <col min="12" max="13" width="8.7109375" style="37" customWidth="1"/>
    <col min="14" max="14" width="8.5703125" style="37" customWidth="1"/>
    <col min="15" max="15" width="5.5703125" style="37" customWidth="1"/>
    <col min="16" max="18" width="10.7109375" style="37" customWidth="1"/>
    <col min="19" max="19" width="7.7109375" style="37" customWidth="1"/>
    <col min="20" max="16384" width="9.140625" style="37" hidden="1"/>
  </cols>
  <sheetData>
    <row r="1" spans="1:19" ht="23.25" x14ac:dyDescent="0.25">
      <c r="A1" s="2104" t="s">
        <v>450</v>
      </c>
      <c r="B1" s="2104"/>
      <c r="C1" s="2104"/>
      <c r="D1" s="2104"/>
      <c r="E1" s="2104"/>
      <c r="F1" s="2104"/>
      <c r="G1" s="2104"/>
      <c r="H1" s="2104"/>
      <c r="I1" s="2104"/>
      <c r="J1" s="2104"/>
      <c r="K1" s="2104"/>
      <c r="L1" s="2104"/>
      <c r="M1" s="2104"/>
      <c r="N1" s="2104"/>
      <c r="O1" s="2104"/>
      <c r="P1" s="2104"/>
      <c r="Q1" s="2104"/>
      <c r="R1" s="2104"/>
      <c r="S1" s="2104"/>
    </row>
    <row r="2" spans="1:19" ht="15" customHeight="1" x14ac:dyDescent="0.25">
      <c r="A2" s="48"/>
      <c r="B2" s="49"/>
      <c r="C2" s="49"/>
      <c r="D2" s="49"/>
      <c r="E2" s="49"/>
      <c r="F2" s="48"/>
      <c r="G2" s="48"/>
      <c r="H2" s="48"/>
      <c r="I2" s="175"/>
      <c r="J2" s="175"/>
      <c r="K2" s="175"/>
      <c r="L2" s="1694" t="s">
        <v>1702</v>
      </c>
      <c r="M2" s="1694"/>
      <c r="N2" s="1694"/>
      <c r="O2" s="1694"/>
      <c r="P2" s="752" t="s">
        <v>340</v>
      </c>
      <c r="Q2" s="752" t="s">
        <v>35</v>
      </c>
      <c r="R2" s="752" t="s">
        <v>313</v>
      </c>
      <c r="S2" s="752" t="s">
        <v>317</v>
      </c>
    </row>
    <row r="3" spans="1:19" ht="15" customHeight="1" x14ac:dyDescent="0.25">
      <c r="A3" s="48"/>
      <c r="B3" s="49"/>
      <c r="C3" s="49"/>
      <c r="D3" s="49"/>
      <c r="E3" s="49"/>
      <c r="F3" s="48"/>
      <c r="G3" s="48"/>
      <c r="H3" s="48"/>
      <c r="I3" s="175"/>
      <c r="J3" s="175"/>
      <c r="K3" s="175"/>
      <c r="L3" s="1694"/>
      <c r="M3" s="1694"/>
      <c r="N3" s="1694"/>
      <c r="O3" s="1694"/>
      <c r="P3" s="752" t="s">
        <v>30</v>
      </c>
      <c r="Q3" s="752" t="s">
        <v>37</v>
      </c>
      <c r="R3" s="752" t="s">
        <v>315</v>
      </c>
      <c r="S3" s="752" t="s">
        <v>318</v>
      </c>
    </row>
    <row r="4" spans="1:19" ht="15" customHeight="1" x14ac:dyDescent="0.25">
      <c r="A4" s="48"/>
      <c r="B4" s="49"/>
      <c r="C4" s="49"/>
      <c r="D4" s="49"/>
      <c r="E4" s="49"/>
      <c r="F4" s="48"/>
      <c r="G4" s="48"/>
      <c r="H4" s="48"/>
      <c r="I4" s="176"/>
      <c r="J4" s="176"/>
      <c r="K4" s="175"/>
      <c r="L4" s="1695"/>
      <c r="M4" s="1695"/>
      <c r="N4" s="1695"/>
      <c r="O4" s="1695"/>
      <c r="P4" s="752" t="s">
        <v>32</v>
      </c>
      <c r="Q4" s="752" t="s">
        <v>248</v>
      </c>
      <c r="R4" s="752" t="s">
        <v>316</v>
      </c>
      <c r="S4" s="752" t="s">
        <v>319</v>
      </c>
    </row>
    <row r="5" spans="1:19" ht="18" customHeight="1" x14ac:dyDescent="0.25">
      <c r="A5" s="1704" t="s">
        <v>2833</v>
      </c>
      <c r="B5" s="1705"/>
      <c r="C5" s="1705"/>
      <c r="D5" s="1705"/>
      <c r="E5" s="1705"/>
      <c r="F5" s="1705"/>
      <c r="G5" s="1705"/>
      <c r="H5" s="1705"/>
      <c r="I5" s="1705"/>
      <c r="J5" s="1705"/>
      <c r="K5" s="1705"/>
      <c r="L5" s="1705"/>
      <c r="M5" s="1705"/>
      <c r="N5" s="1705"/>
      <c r="O5" s="1705"/>
      <c r="P5" s="1705"/>
      <c r="Q5" s="1705"/>
      <c r="R5" s="1705"/>
      <c r="S5" s="1705"/>
    </row>
    <row r="6" spans="1:19" ht="18" customHeight="1" x14ac:dyDescent="0.25">
      <c r="A6" s="1707"/>
      <c r="B6" s="1708"/>
      <c r="C6" s="1708"/>
      <c r="D6" s="1708"/>
      <c r="E6" s="1708"/>
      <c r="F6" s="1708"/>
      <c r="G6" s="1708"/>
      <c r="H6" s="1708"/>
      <c r="I6" s="1708"/>
      <c r="J6" s="1708"/>
      <c r="K6" s="1708"/>
      <c r="L6" s="1708"/>
      <c r="M6" s="1708"/>
      <c r="N6" s="1708"/>
      <c r="O6" s="1708"/>
      <c r="P6" s="1708"/>
      <c r="Q6" s="1708"/>
      <c r="R6" s="1708"/>
      <c r="S6" s="1708"/>
    </row>
    <row r="7" spans="1:19" ht="18" customHeight="1" x14ac:dyDescent="0.25">
      <c r="A7" s="1710"/>
      <c r="B7" s="1711"/>
      <c r="C7" s="1711"/>
      <c r="D7" s="1711"/>
      <c r="E7" s="1711"/>
      <c r="F7" s="1711"/>
      <c r="G7" s="1711"/>
      <c r="H7" s="1711"/>
      <c r="I7" s="1711"/>
      <c r="J7" s="1711"/>
      <c r="K7" s="1711"/>
      <c r="L7" s="1711"/>
      <c r="M7" s="1711"/>
      <c r="N7" s="1711"/>
      <c r="O7" s="1711"/>
      <c r="P7" s="1711"/>
      <c r="Q7" s="1711"/>
      <c r="R7" s="1711"/>
      <c r="S7" s="1711"/>
    </row>
    <row r="8" spans="1:19" ht="12" customHeight="1" x14ac:dyDescent="0.25">
      <c r="A8" s="48"/>
      <c r="B8" s="49"/>
      <c r="C8" s="49"/>
      <c r="D8" s="49"/>
      <c r="E8" s="49"/>
      <c r="F8" s="48"/>
      <c r="G8" s="48"/>
      <c r="H8" s="48"/>
      <c r="I8" s="48"/>
      <c r="J8" s="48"/>
      <c r="K8" s="48"/>
      <c r="L8" s="48"/>
      <c r="M8" s="48"/>
      <c r="N8" s="48"/>
      <c r="O8" s="48"/>
      <c r="P8" s="48"/>
      <c r="Q8" s="48"/>
      <c r="R8" s="48"/>
      <c r="S8" s="48"/>
    </row>
    <row r="9" spans="1:19" ht="18" customHeight="1" x14ac:dyDescent="0.25">
      <c r="A9" s="2092" t="s">
        <v>95</v>
      </c>
      <c r="B9" s="2092"/>
      <c r="C9" s="2092"/>
      <c r="D9" s="2092"/>
      <c r="E9" s="2092"/>
      <c r="F9" s="2092"/>
      <c r="G9" s="2092"/>
      <c r="H9" s="2092"/>
      <c r="I9" s="2092"/>
      <c r="J9" s="2092"/>
      <c r="K9" s="2092"/>
      <c r="L9" s="2092"/>
      <c r="M9" s="2092"/>
      <c r="N9" s="2092"/>
      <c r="O9" s="2092"/>
      <c r="P9" s="2092"/>
      <c r="Q9" s="2092"/>
      <c r="R9" s="2092"/>
      <c r="S9" s="2092"/>
    </row>
    <row r="10" spans="1:19" x14ac:dyDescent="0.25">
      <c r="A10" s="48"/>
      <c r="B10" s="49"/>
      <c r="C10" s="49"/>
      <c r="D10" s="49"/>
      <c r="E10" s="49"/>
      <c r="F10" s="48"/>
      <c r="G10" s="48"/>
      <c r="H10" s="48"/>
      <c r="I10" s="48"/>
      <c r="J10" s="48"/>
      <c r="K10" s="48"/>
      <c r="L10" s="48"/>
      <c r="M10" s="48"/>
      <c r="N10" s="48"/>
      <c r="O10" s="48"/>
      <c r="P10" s="48"/>
      <c r="Q10" s="48"/>
      <c r="R10" s="48"/>
      <c r="S10" s="48"/>
    </row>
    <row r="11" spans="1:19" ht="21" customHeight="1" x14ac:dyDescent="0.25">
      <c r="A11" s="48"/>
      <c r="B11" s="2173" t="s">
        <v>96</v>
      </c>
      <c r="C11" s="2173"/>
      <c r="D11" s="2173"/>
      <c r="E11" s="2173"/>
      <c r="F11" s="2173"/>
      <c r="G11" s="2173"/>
      <c r="H11" s="2174"/>
      <c r="I11" s="2175" t="s">
        <v>75</v>
      </c>
      <c r="J11" s="2176"/>
      <c r="K11" s="2179" t="s">
        <v>19</v>
      </c>
      <c r="L11" s="2180"/>
      <c r="M11" s="2187" t="s">
        <v>151</v>
      </c>
      <c r="N11" s="2187"/>
      <c r="O11" s="2188"/>
      <c r="P11" s="283"/>
      <c r="Q11" s="48"/>
      <c r="R11" s="48"/>
      <c r="S11" s="48"/>
    </row>
    <row r="12" spans="1:19" ht="33" customHeight="1" x14ac:dyDescent="0.25">
      <c r="A12" s="48"/>
      <c r="B12" s="2192" t="s">
        <v>501</v>
      </c>
      <c r="C12" s="2192" t="s">
        <v>64</v>
      </c>
      <c r="D12" s="2192" t="s">
        <v>64</v>
      </c>
      <c r="E12" s="2192" t="s">
        <v>64</v>
      </c>
      <c r="F12" s="2192">
        <v>3</v>
      </c>
      <c r="G12" s="2192"/>
      <c r="H12" s="2192"/>
      <c r="I12" s="2185">
        <v>2</v>
      </c>
      <c r="J12" s="2185"/>
      <c r="K12" s="2185">
        <f>C70</f>
        <v>0</v>
      </c>
      <c r="L12" s="2185"/>
      <c r="M12" s="2189" t="str">
        <f>C71</f>
        <v>No</v>
      </c>
      <c r="N12" s="2190"/>
      <c r="O12" s="2191"/>
      <c r="P12" s="48"/>
      <c r="Q12" s="48"/>
      <c r="R12" s="48"/>
      <c r="S12" s="48"/>
    </row>
    <row r="13" spans="1:19" x14ac:dyDescent="0.25">
      <c r="A13" s="48"/>
      <c r="B13" s="49"/>
      <c r="C13" s="49"/>
      <c r="D13" s="49"/>
      <c r="E13" s="49"/>
      <c r="F13" s="48"/>
      <c r="G13" s="48"/>
      <c r="H13" s="48"/>
      <c r="I13" s="48"/>
      <c r="J13" s="48"/>
      <c r="K13" s="48"/>
      <c r="L13" s="48"/>
      <c r="M13" s="48"/>
      <c r="N13" s="48"/>
      <c r="O13" s="48"/>
      <c r="P13" s="48"/>
      <c r="Q13" s="48"/>
      <c r="R13" s="48"/>
      <c r="S13" s="48"/>
    </row>
    <row r="14" spans="1:19" ht="18" customHeight="1" x14ac:dyDescent="0.25">
      <c r="A14" s="2092" t="s">
        <v>117</v>
      </c>
      <c r="B14" s="2092"/>
      <c r="C14" s="2092"/>
      <c r="D14" s="2092"/>
      <c r="E14" s="2092"/>
      <c r="F14" s="2092"/>
      <c r="G14" s="2092"/>
      <c r="H14" s="2092"/>
      <c r="I14" s="2092"/>
      <c r="J14" s="2092"/>
      <c r="K14" s="2092"/>
      <c r="L14" s="2092"/>
      <c r="M14" s="2092"/>
      <c r="N14" s="2092"/>
      <c r="O14" s="2092"/>
      <c r="P14" s="2092"/>
      <c r="Q14" s="2092"/>
      <c r="R14" s="2092"/>
      <c r="S14" s="2092"/>
    </row>
    <row r="15" spans="1:19" x14ac:dyDescent="0.25">
      <c r="A15" s="48"/>
      <c r="B15" s="48"/>
      <c r="C15" s="48"/>
      <c r="D15" s="48"/>
      <c r="E15" s="48"/>
      <c r="F15" s="48"/>
      <c r="G15" s="48"/>
      <c r="H15" s="48"/>
      <c r="I15" s="48"/>
      <c r="J15" s="48"/>
      <c r="K15" s="48"/>
      <c r="L15" s="48"/>
      <c r="M15" s="48"/>
      <c r="N15" s="48"/>
      <c r="O15" s="48"/>
      <c r="P15" s="48"/>
      <c r="Q15" s="48"/>
      <c r="R15" s="48"/>
      <c r="S15" s="48"/>
    </row>
    <row r="16" spans="1:19" x14ac:dyDescent="0.25">
      <c r="A16" s="48"/>
      <c r="B16" s="669" t="s">
        <v>1040</v>
      </c>
      <c r="C16" s="327"/>
      <c r="D16" s="327"/>
      <c r="E16" s="327"/>
      <c r="F16" s="327"/>
      <c r="G16" s="327"/>
      <c r="H16" s="327"/>
      <c r="I16" s="327"/>
      <c r="J16" s="327"/>
      <c r="K16" s="327"/>
      <c r="L16" s="327"/>
      <c r="M16" s="327"/>
      <c r="N16" s="327"/>
      <c r="O16" s="48"/>
      <c r="P16" s="48"/>
      <c r="Q16" s="48"/>
      <c r="R16" s="48"/>
      <c r="S16" s="48"/>
    </row>
    <row r="17" spans="1:19" ht="12" customHeight="1" x14ac:dyDescent="0.25">
      <c r="A17" s="48"/>
      <c r="B17" s="368"/>
      <c r="C17" s="327"/>
      <c r="D17" s="327"/>
      <c r="E17" s="327"/>
      <c r="F17" s="327"/>
      <c r="G17" s="327"/>
      <c r="H17" s="327"/>
      <c r="I17" s="327"/>
      <c r="J17" s="327"/>
      <c r="K17" s="327"/>
      <c r="L17" s="327"/>
      <c r="M17" s="327"/>
      <c r="N17" s="327"/>
      <c r="O17" s="48"/>
      <c r="P17" s="48"/>
      <c r="Q17" s="48"/>
      <c r="R17" s="48"/>
      <c r="S17" s="48"/>
    </row>
    <row r="18" spans="1:19" ht="15" customHeight="1" x14ac:dyDescent="0.25">
      <c r="A18" s="48"/>
      <c r="B18" s="2186" t="s">
        <v>515</v>
      </c>
      <c r="C18" s="2186"/>
      <c r="D18" s="2186"/>
      <c r="E18" s="2186"/>
      <c r="F18" s="2186"/>
      <c r="G18" s="2186"/>
      <c r="H18" s="2186"/>
      <c r="I18" s="2186"/>
      <c r="J18" s="2186"/>
      <c r="K18" s="2186"/>
      <c r="L18" s="2186"/>
      <c r="M18" s="2186"/>
      <c r="N18" s="2186"/>
      <c r="O18" s="48"/>
      <c r="P18" s="48"/>
      <c r="Q18" s="48"/>
      <c r="R18" s="48"/>
      <c r="S18" s="48"/>
    </row>
    <row r="19" spans="1:19" x14ac:dyDescent="0.25">
      <c r="A19" s="48"/>
      <c r="B19" s="2186"/>
      <c r="C19" s="2186"/>
      <c r="D19" s="2186"/>
      <c r="E19" s="2186"/>
      <c r="F19" s="2186"/>
      <c r="G19" s="2186"/>
      <c r="H19" s="2186"/>
      <c r="I19" s="2186"/>
      <c r="J19" s="2186"/>
      <c r="K19" s="2186"/>
      <c r="L19" s="2186"/>
      <c r="M19" s="2186"/>
      <c r="N19" s="2186"/>
      <c r="O19" s="48"/>
      <c r="P19" s="48"/>
      <c r="Q19" s="48"/>
      <c r="R19" s="48"/>
      <c r="S19" s="48"/>
    </row>
    <row r="20" spans="1:19" ht="12" customHeight="1" x14ac:dyDescent="0.25">
      <c r="A20" s="48"/>
      <c r="B20" s="2186"/>
      <c r="C20" s="2186"/>
      <c r="D20" s="2186"/>
      <c r="E20" s="2186"/>
      <c r="F20" s="2186"/>
      <c r="G20" s="2186"/>
      <c r="H20" s="2186"/>
      <c r="I20" s="2186"/>
      <c r="J20" s="2186"/>
      <c r="K20" s="2186"/>
      <c r="L20" s="2186"/>
      <c r="M20" s="2186"/>
      <c r="N20" s="2186"/>
      <c r="O20" s="48"/>
      <c r="P20" s="48"/>
      <c r="Q20" s="48"/>
      <c r="R20" s="48"/>
      <c r="S20" s="48"/>
    </row>
    <row r="21" spans="1:19" ht="9" customHeight="1" x14ac:dyDescent="0.25">
      <c r="A21" s="48"/>
      <c r="B21" s="49"/>
      <c r="C21" s="48"/>
      <c r="D21" s="48"/>
      <c r="E21" s="48"/>
      <c r="F21" s="48"/>
      <c r="G21" s="48"/>
      <c r="H21" s="48"/>
      <c r="I21" s="48"/>
      <c r="J21" s="48"/>
      <c r="K21" s="48"/>
      <c r="L21" s="48"/>
      <c r="M21" s="48"/>
      <c r="N21" s="48"/>
      <c r="O21" s="48"/>
      <c r="P21" s="48"/>
      <c r="Q21" s="48"/>
      <c r="R21" s="48"/>
      <c r="S21" s="48"/>
    </row>
    <row r="22" spans="1:19" ht="16.5" customHeight="1" x14ac:dyDescent="0.25">
      <c r="A22" s="48"/>
      <c r="B22" s="559" t="s">
        <v>509</v>
      </c>
      <c r="C22" s="511"/>
      <c r="D22" s="511"/>
      <c r="E22" s="511"/>
      <c r="F22" s="511"/>
      <c r="G22" s="511"/>
      <c r="H22" s="511"/>
      <c r="I22" s="512"/>
      <c r="J22" s="48"/>
      <c r="K22" s="48"/>
      <c r="L22" s="48"/>
      <c r="M22" s="48"/>
      <c r="N22" s="48"/>
      <c r="O22" s="48"/>
      <c r="P22" s="48"/>
      <c r="Q22" s="48"/>
      <c r="R22" s="48"/>
      <c r="S22" s="48"/>
    </row>
    <row r="23" spans="1:19" ht="16.5" customHeight="1" x14ac:dyDescent="0.25">
      <c r="A23" s="48"/>
      <c r="B23" s="579" t="s">
        <v>510</v>
      </c>
      <c r="C23" s="513"/>
      <c r="D23" s="513"/>
      <c r="E23" s="513"/>
      <c r="F23" s="513"/>
      <c r="G23" s="513"/>
      <c r="H23" s="513"/>
      <c r="I23" s="514"/>
      <c r="J23" s="48"/>
      <c r="K23" s="48"/>
      <c r="L23" s="48"/>
      <c r="M23" s="48"/>
      <c r="N23" s="48"/>
      <c r="O23" s="48"/>
      <c r="P23" s="48"/>
      <c r="Q23" s="48"/>
      <c r="R23" s="48"/>
      <c r="S23" s="48"/>
    </row>
    <row r="24" spans="1:19" ht="16.5" customHeight="1" x14ac:dyDescent="0.25">
      <c r="A24" s="48"/>
      <c r="B24" s="579" t="s">
        <v>1041</v>
      </c>
      <c r="C24" s="513"/>
      <c r="D24" s="513"/>
      <c r="E24" s="513"/>
      <c r="F24" s="513"/>
      <c r="G24" s="513"/>
      <c r="H24" s="513"/>
      <c r="I24" s="514"/>
      <c r="J24" s="48"/>
      <c r="K24" s="48"/>
      <c r="L24" s="48"/>
      <c r="M24" s="48"/>
      <c r="N24" s="48"/>
      <c r="O24" s="48"/>
      <c r="P24" s="48"/>
      <c r="Q24" s="48"/>
      <c r="R24" s="48"/>
      <c r="S24" s="48"/>
    </row>
    <row r="25" spans="1:19" ht="16.5" customHeight="1" x14ac:dyDescent="0.25">
      <c r="A25" s="48"/>
      <c r="B25" s="561" t="s">
        <v>511</v>
      </c>
      <c r="C25" s="515"/>
      <c r="D25" s="515"/>
      <c r="E25" s="515"/>
      <c r="F25" s="515"/>
      <c r="G25" s="515"/>
      <c r="H25" s="515"/>
      <c r="I25" s="516"/>
      <c r="J25" s="48"/>
      <c r="K25" s="48"/>
      <c r="L25" s="48"/>
      <c r="M25" s="48"/>
      <c r="N25" s="48"/>
      <c r="O25" s="48"/>
      <c r="P25" s="48"/>
      <c r="Q25" s="48"/>
      <c r="R25" s="48"/>
      <c r="S25" s="48"/>
    </row>
    <row r="26" spans="1:19" ht="19.5" customHeight="1" x14ac:dyDescent="0.25">
      <c r="A26" s="48"/>
      <c r="B26" s="48"/>
      <c r="C26" s="48"/>
      <c r="D26" s="48"/>
      <c r="E26" s="48"/>
      <c r="F26" s="48"/>
      <c r="G26" s="48"/>
      <c r="H26" s="48"/>
      <c r="I26" s="48"/>
      <c r="J26" s="48"/>
      <c r="K26" s="48"/>
      <c r="L26" s="48"/>
      <c r="M26" s="48"/>
      <c r="N26" s="48"/>
      <c r="O26" s="48"/>
      <c r="P26" s="48"/>
      <c r="Q26" s="48"/>
      <c r="R26" s="48"/>
      <c r="S26" s="48"/>
    </row>
    <row r="27" spans="1:19" ht="18" customHeight="1" x14ac:dyDescent="0.25">
      <c r="A27" s="2092" t="s">
        <v>9</v>
      </c>
      <c r="B27" s="2092"/>
      <c r="C27" s="2092"/>
      <c r="D27" s="2092"/>
      <c r="E27" s="2092"/>
      <c r="F27" s="2092"/>
      <c r="G27" s="2092"/>
      <c r="H27" s="2092"/>
      <c r="I27" s="2092"/>
      <c r="J27" s="2092"/>
      <c r="K27" s="2092"/>
      <c r="L27" s="2092"/>
      <c r="M27" s="2092"/>
      <c r="N27" s="2092"/>
      <c r="O27" s="2092"/>
      <c r="P27" s="2092"/>
      <c r="Q27" s="2092"/>
      <c r="R27" s="2092"/>
      <c r="S27" s="2092"/>
    </row>
    <row r="28" spans="1:19" ht="15.75" x14ac:dyDescent="0.25">
      <c r="A28" s="380"/>
      <c r="B28" s="670"/>
      <c r="C28" s="381"/>
      <c r="D28" s="381"/>
      <c r="E28" s="381"/>
      <c r="F28" s="381"/>
      <c r="G28" s="381"/>
      <c r="H28" s="381"/>
      <c r="I28" s="381"/>
      <c r="J28" s="381"/>
      <c r="K28" s="381"/>
      <c r="L28" s="381"/>
      <c r="M28" s="381"/>
      <c r="N28" s="381"/>
      <c r="O28" s="381"/>
      <c r="P28" s="381"/>
      <c r="Q28" s="381"/>
      <c r="R28" s="381"/>
      <c r="S28" s="381"/>
    </row>
    <row r="29" spans="1:19" ht="15.75" x14ac:dyDescent="0.25">
      <c r="A29" s="380"/>
      <c r="B29" s="671" t="s">
        <v>1216</v>
      </c>
      <c r="C29" s="381"/>
      <c r="D29" s="381"/>
      <c r="E29" s="381"/>
      <c r="F29" s="381"/>
      <c r="G29" s="381"/>
      <c r="H29" s="381"/>
      <c r="I29" s="381"/>
      <c r="J29" s="381"/>
      <c r="K29" s="381"/>
      <c r="L29" s="381"/>
      <c r="M29" s="381"/>
      <c r="N29" s="381"/>
      <c r="O29" s="381"/>
      <c r="P29" s="381"/>
      <c r="Q29" s="381"/>
      <c r="R29" s="381"/>
      <c r="S29" s="381"/>
    </row>
    <row r="30" spans="1:19" ht="15.75" x14ac:dyDescent="0.25">
      <c r="A30" s="380"/>
      <c r="B30" s="121"/>
      <c r="C30" s="381"/>
      <c r="D30" s="381"/>
      <c r="E30" s="381"/>
      <c r="F30" s="381"/>
      <c r="G30" s="381"/>
      <c r="H30" s="381"/>
      <c r="I30" s="381"/>
      <c r="J30" s="381"/>
      <c r="K30" s="381"/>
      <c r="L30" s="381"/>
      <c r="M30" s="381"/>
      <c r="N30" s="381"/>
      <c r="O30" s="381"/>
      <c r="P30" s="381"/>
      <c r="Q30" s="381"/>
      <c r="R30" s="381"/>
      <c r="S30" s="381"/>
    </row>
    <row r="31" spans="1:19" ht="15" customHeight="1" x14ac:dyDescent="0.25">
      <c r="A31" s="49"/>
      <c r="B31" s="775" t="s">
        <v>1836</v>
      </c>
      <c r="C31" s="48"/>
      <c r="D31" s="48"/>
      <c r="E31" s="48"/>
      <c r="F31" s="48"/>
      <c r="G31" s="48"/>
      <c r="H31" s="48"/>
      <c r="I31" s="48"/>
      <c r="J31" s="48"/>
      <c r="K31" s="48"/>
      <c r="L31" s="48"/>
      <c r="M31" s="48"/>
      <c r="N31" s="48"/>
      <c r="O31" s="48"/>
      <c r="P31" s="48"/>
      <c r="Q31" s="48"/>
      <c r="R31" s="48"/>
      <c r="S31" s="48"/>
    </row>
    <row r="32" spans="1:19" ht="13.5" customHeight="1" x14ac:dyDescent="0.25">
      <c r="A32" s="49"/>
      <c r="B32" s="48"/>
      <c r="C32" s="48"/>
      <c r="D32" s="48"/>
      <c r="E32" s="48"/>
      <c r="F32" s="48"/>
      <c r="G32" s="48"/>
      <c r="H32" s="48"/>
      <c r="I32" s="48"/>
      <c r="J32" s="48"/>
      <c r="K32" s="48"/>
      <c r="L32" s="48"/>
      <c r="M32" s="48"/>
      <c r="N32" s="48"/>
      <c r="O32" s="48"/>
      <c r="P32" s="48"/>
      <c r="Q32" s="48"/>
      <c r="R32" s="48"/>
      <c r="S32" s="48"/>
    </row>
    <row r="33" spans="1:24" ht="15" customHeight="1" x14ac:dyDescent="0.25">
      <c r="A33" s="49"/>
      <c r="B33" s="2137" t="s">
        <v>514</v>
      </c>
      <c r="C33" s="2181"/>
      <c r="D33" s="2181"/>
      <c r="E33" s="2182" t="s">
        <v>62</v>
      </c>
      <c r="F33" s="2183"/>
      <c r="G33" s="2184"/>
      <c r="H33" s="283"/>
      <c r="I33" s="48"/>
      <c r="J33" s="48"/>
      <c r="K33" s="48"/>
      <c r="L33" s="48"/>
      <c r="M33" s="48"/>
      <c r="N33" s="48"/>
      <c r="O33" s="48"/>
      <c r="P33" s="48"/>
      <c r="Q33" s="48"/>
      <c r="R33" s="48"/>
      <c r="S33" s="48"/>
    </row>
    <row r="34" spans="1:24" ht="15" customHeight="1" x14ac:dyDescent="0.25">
      <c r="A34" s="49"/>
      <c r="B34" s="49"/>
      <c r="C34" s="48"/>
      <c r="D34" s="48"/>
      <c r="E34" s="48"/>
      <c r="F34" s="48"/>
      <c r="G34" s="48"/>
      <c r="H34" s="48"/>
      <c r="I34" s="48"/>
      <c r="J34" s="48"/>
      <c r="K34" s="48"/>
      <c r="L34" s="48"/>
      <c r="M34" s="48"/>
      <c r="N34" s="48"/>
      <c r="O34" s="48"/>
      <c r="P34" s="48"/>
      <c r="Q34" s="48"/>
      <c r="R34" s="48"/>
      <c r="S34" s="48"/>
    </row>
    <row r="35" spans="1:24" ht="15" customHeight="1" x14ac:dyDescent="0.25">
      <c r="A35" s="49"/>
      <c r="B35" s="2199" t="s">
        <v>502</v>
      </c>
      <c r="C35" s="2193" t="s">
        <v>182</v>
      </c>
      <c r="D35" s="2193" t="s">
        <v>191</v>
      </c>
      <c r="E35" s="2193" t="s">
        <v>192</v>
      </c>
      <c r="F35" s="2198" t="s">
        <v>190</v>
      </c>
      <c r="G35" s="2198"/>
      <c r="H35" s="2198"/>
      <c r="I35" s="2193" t="s">
        <v>183</v>
      </c>
      <c r="J35" s="2193" t="s">
        <v>1151</v>
      </c>
      <c r="K35" s="2193" t="s">
        <v>518</v>
      </c>
      <c r="L35" s="2198" t="s">
        <v>184</v>
      </c>
      <c r="M35" s="2198"/>
      <c r="N35" s="2198"/>
      <c r="O35" s="2193" t="s">
        <v>517</v>
      </c>
      <c r="P35" s="2193"/>
      <c r="Q35" s="2193" t="s">
        <v>516</v>
      </c>
      <c r="R35" s="2196" t="s">
        <v>89</v>
      </c>
      <c r="S35" s="48"/>
      <c r="W35" s="2177" t="s">
        <v>193</v>
      </c>
      <c r="X35" s="2177" t="s">
        <v>194</v>
      </c>
    </row>
    <row r="36" spans="1:24" x14ac:dyDescent="0.25">
      <c r="A36" s="49"/>
      <c r="B36" s="2200"/>
      <c r="C36" s="2194"/>
      <c r="D36" s="2195"/>
      <c r="E36" s="2195"/>
      <c r="F36" s="247" t="s">
        <v>195</v>
      </c>
      <c r="G36" s="247" t="s">
        <v>185</v>
      </c>
      <c r="H36" s="247" t="s">
        <v>186</v>
      </c>
      <c r="I36" s="2195"/>
      <c r="J36" s="2195"/>
      <c r="K36" s="2195"/>
      <c r="L36" s="247" t="s">
        <v>187</v>
      </c>
      <c r="M36" s="247" t="s">
        <v>188</v>
      </c>
      <c r="N36" s="247" t="s">
        <v>189</v>
      </c>
      <c r="O36" s="2195"/>
      <c r="P36" s="2195"/>
      <c r="Q36" s="2195"/>
      <c r="R36" s="2197"/>
      <c r="S36" s="48"/>
      <c r="W36" s="2178"/>
      <c r="X36" s="2178"/>
    </row>
    <row r="37" spans="1:24" ht="16.5" customHeight="1" x14ac:dyDescent="0.25">
      <c r="A37" s="49"/>
      <c r="B37" s="245"/>
      <c r="C37" s="245"/>
      <c r="D37" s="245"/>
      <c r="E37" s="245"/>
      <c r="F37" s="245"/>
      <c r="G37" s="245"/>
      <c r="H37" s="245"/>
      <c r="I37" s="245"/>
      <c r="J37" s="245"/>
      <c r="K37" s="245" t="s">
        <v>62</v>
      </c>
      <c r="L37" s="245"/>
      <c r="M37" s="245"/>
      <c r="N37" s="245"/>
      <c r="O37" s="2201"/>
      <c r="P37" s="2202"/>
      <c r="Q37" s="374" t="str">
        <f>IF($E$33="Daylight modelling software",IF(O37="","",O37),IFERROR((D37*(PI()/180)*MOD(E37,180)*I37*J37)/(W37*(1-X37^2)),""))</f>
        <v/>
      </c>
      <c r="R37" s="246" t="str">
        <f>IF(Q37="","",IF(AND(Q37&lt;=0.035,Q37&gt;=0.015),"Yes",IF(AND(Q37&gt;0.035,K37="Yes"),"Yes","No")))</f>
        <v/>
      </c>
      <c r="S37" s="48"/>
      <c r="W37" s="37">
        <f>(F37*G37)*2+(G37*H37)*2+(F37*H37)*2</f>
        <v>0</v>
      </c>
      <c r="X37" s="37" t="e">
        <f>(L37*(F37*G37)+M37*(F37+G37)*2*H37+N37*(F37*G37))/W37</f>
        <v>#DIV/0!</v>
      </c>
    </row>
    <row r="38" spans="1:24" ht="16.5" customHeight="1" x14ac:dyDescent="0.25">
      <c r="A38" s="49"/>
      <c r="B38" s="106"/>
      <c r="C38" s="106"/>
      <c r="D38" s="106"/>
      <c r="E38" s="106"/>
      <c r="F38" s="106"/>
      <c r="G38" s="106"/>
      <c r="H38" s="106"/>
      <c r="I38" s="106"/>
      <c r="J38" s="106"/>
      <c r="K38" s="245" t="s">
        <v>62</v>
      </c>
      <c r="L38" s="245"/>
      <c r="M38" s="245"/>
      <c r="N38" s="245"/>
      <c r="O38" s="2201"/>
      <c r="P38" s="2202"/>
      <c r="Q38" s="374" t="str">
        <f t="shared" ref="Q38:Q56" si="0">IF($E$33="Daylight modelling software",IF(O38="","",O38),IFERROR((D38*(PI()/180)*MOD(E38,180)*I38*J38)/(W38*(1-X38^2)),""))</f>
        <v/>
      </c>
      <c r="R38" s="246" t="str">
        <f t="shared" ref="R38:R56" si="1">IF(Q38="","",IF(AND(Q38&lt;=0.035,Q38&gt;=0.015),"Yes",IF(AND(Q38&gt;0.035,K38="Yes"),"Yes","No")))</f>
        <v/>
      </c>
      <c r="S38" s="48"/>
      <c r="W38" s="37">
        <f t="shared" ref="W38:W56" si="2">(F38*G38)*2+(G38*H38)*2+(F38*H38)*2</f>
        <v>0</v>
      </c>
      <c r="X38" s="37" t="e">
        <f t="shared" ref="X38:X56" si="3">(L38*(F38*G38)+M38*(F38+G38)*2*H38+N38*(F38*G38))/W38</f>
        <v>#DIV/0!</v>
      </c>
    </row>
    <row r="39" spans="1:24" ht="16.5" customHeight="1" x14ac:dyDescent="0.25">
      <c r="A39" s="49"/>
      <c r="B39" s="106"/>
      <c r="C39" s="106"/>
      <c r="D39" s="106"/>
      <c r="E39" s="106"/>
      <c r="F39" s="106"/>
      <c r="G39" s="106"/>
      <c r="H39" s="106"/>
      <c r="I39" s="106"/>
      <c r="J39" s="106"/>
      <c r="K39" s="245" t="s">
        <v>62</v>
      </c>
      <c r="L39" s="106"/>
      <c r="M39" s="106"/>
      <c r="N39" s="106"/>
      <c r="O39" s="2201"/>
      <c r="P39" s="2202"/>
      <c r="Q39" s="374" t="str">
        <f t="shared" si="0"/>
        <v/>
      </c>
      <c r="R39" s="246" t="str">
        <f t="shared" si="1"/>
        <v/>
      </c>
      <c r="S39" s="48"/>
      <c r="W39" s="37">
        <f t="shared" si="2"/>
        <v>0</v>
      </c>
      <c r="X39" s="37" t="e">
        <f t="shared" si="3"/>
        <v>#DIV/0!</v>
      </c>
    </row>
    <row r="40" spans="1:24" ht="16.5" customHeight="1" x14ac:dyDescent="0.25">
      <c r="A40" s="49"/>
      <c r="B40" s="106"/>
      <c r="C40" s="106"/>
      <c r="D40" s="106"/>
      <c r="E40" s="106"/>
      <c r="F40" s="106"/>
      <c r="G40" s="106"/>
      <c r="H40" s="106"/>
      <c r="I40" s="106"/>
      <c r="J40" s="106"/>
      <c r="K40" s="245" t="s">
        <v>62</v>
      </c>
      <c r="L40" s="106"/>
      <c r="M40" s="106"/>
      <c r="N40" s="106"/>
      <c r="O40" s="2201"/>
      <c r="P40" s="2202"/>
      <c r="Q40" s="374" t="str">
        <f t="shared" si="0"/>
        <v/>
      </c>
      <c r="R40" s="246" t="str">
        <f t="shared" si="1"/>
        <v/>
      </c>
      <c r="S40" s="48"/>
      <c r="W40" s="37">
        <f t="shared" si="2"/>
        <v>0</v>
      </c>
      <c r="X40" s="37" t="e">
        <f t="shared" si="3"/>
        <v>#DIV/0!</v>
      </c>
    </row>
    <row r="41" spans="1:24" ht="16.5" customHeight="1" x14ac:dyDescent="0.25">
      <c r="A41" s="49"/>
      <c r="B41" s="410"/>
      <c r="C41" s="410"/>
      <c r="D41" s="410"/>
      <c r="E41" s="410"/>
      <c r="F41" s="410"/>
      <c r="G41" s="410"/>
      <c r="H41" s="410"/>
      <c r="I41" s="410"/>
      <c r="J41" s="410"/>
      <c r="K41" s="245" t="s">
        <v>62</v>
      </c>
      <c r="L41" s="410"/>
      <c r="M41" s="410"/>
      <c r="N41" s="410"/>
      <c r="O41" s="2201"/>
      <c r="P41" s="2202"/>
      <c r="Q41" s="411" t="str">
        <f t="shared" ref="Q41:Q50" si="4">IF($E$33="Daylight modelling software",IF(O41="","",O41),IFERROR((D41*(PI()/180)*MOD(E41,180)*I41*J41)/(W41*(1-X41^2)),""))</f>
        <v/>
      </c>
      <c r="R41" s="246" t="str">
        <f t="shared" ref="R41:R50" si="5">IF(Q41="","",IF(AND(Q41&lt;=0.035,Q41&gt;=0.015),"Yes",IF(AND(Q41&gt;0.035,K41="Yes"),"Yes","No")))</f>
        <v/>
      </c>
      <c r="S41" s="48"/>
      <c r="W41" s="37">
        <f t="shared" si="2"/>
        <v>0</v>
      </c>
      <c r="X41" s="37" t="e">
        <f t="shared" si="3"/>
        <v>#DIV/0!</v>
      </c>
    </row>
    <row r="42" spans="1:24" ht="16.5" customHeight="1" x14ac:dyDescent="0.25">
      <c r="A42" s="49"/>
      <c r="B42" s="711"/>
      <c r="C42" s="711"/>
      <c r="D42" s="711"/>
      <c r="E42" s="711"/>
      <c r="F42" s="711"/>
      <c r="G42" s="711"/>
      <c r="H42" s="711"/>
      <c r="I42" s="711"/>
      <c r="J42" s="711"/>
      <c r="K42" s="245" t="s">
        <v>62</v>
      </c>
      <c r="L42" s="711"/>
      <c r="M42" s="711"/>
      <c r="N42" s="711"/>
      <c r="O42" s="2201"/>
      <c r="P42" s="2202"/>
      <c r="Q42" s="712" t="str">
        <f t="shared" ref="Q42:Q46" si="6">IF($E$33="Daylight modelling software",IF(O42="","",O42),IFERROR((D42*(PI()/180)*MOD(E42,180)*I42*J42)/(W42*(1-X42^2)),""))</f>
        <v/>
      </c>
      <c r="R42" s="246" t="str">
        <f t="shared" ref="R42:R46" si="7">IF(Q42="","",IF(AND(Q42&lt;=0.035,Q42&gt;=0.015),"Yes",IF(AND(Q42&gt;0.035,K42="Yes"),"Yes","No")))</f>
        <v/>
      </c>
      <c r="S42" s="48"/>
      <c r="W42" s="37">
        <f t="shared" si="2"/>
        <v>0</v>
      </c>
      <c r="X42" s="37" t="e">
        <f t="shared" si="3"/>
        <v>#DIV/0!</v>
      </c>
    </row>
    <row r="43" spans="1:24" ht="16.5" customHeight="1" x14ac:dyDescent="0.25">
      <c r="A43" s="49"/>
      <c r="B43" s="711"/>
      <c r="C43" s="711"/>
      <c r="D43" s="711"/>
      <c r="E43" s="711"/>
      <c r="F43" s="711"/>
      <c r="G43" s="711"/>
      <c r="H43" s="711"/>
      <c r="I43" s="711"/>
      <c r="J43" s="711"/>
      <c r="K43" s="245" t="s">
        <v>62</v>
      </c>
      <c r="L43" s="711"/>
      <c r="M43" s="711"/>
      <c r="N43" s="711"/>
      <c r="O43" s="2201"/>
      <c r="P43" s="2202"/>
      <c r="Q43" s="712" t="str">
        <f t="shared" si="6"/>
        <v/>
      </c>
      <c r="R43" s="246" t="str">
        <f t="shared" si="7"/>
        <v/>
      </c>
      <c r="S43" s="48"/>
      <c r="W43" s="37">
        <f t="shared" si="2"/>
        <v>0</v>
      </c>
      <c r="X43" s="37" t="e">
        <f t="shared" si="3"/>
        <v>#DIV/0!</v>
      </c>
    </row>
    <row r="44" spans="1:24" ht="16.5" customHeight="1" x14ac:dyDescent="0.25">
      <c r="A44" s="49"/>
      <c r="B44" s="711"/>
      <c r="C44" s="711"/>
      <c r="D44" s="711"/>
      <c r="E44" s="711"/>
      <c r="F44" s="711"/>
      <c r="G44" s="711"/>
      <c r="H44" s="711"/>
      <c r="I44" s="711"/>
      <c r="J44" s="711"/>
      <c r="K44" s="245" t="s">
        <v>62</v>
      </c>
      <c r="L44" s="711"/>
      <c r="M44" s="711"/>
      <c r="N44" s="711"/>
      <c r="O44" s="2201"/>
      <c r="P44" s="2202"/>
      <c r="Q44" s="712" t="str">
        <f t="shared" si="6"/>
        <v/>
      </c>
      <c r="R44" s="246" t="str">
        <f t="shared" si="7"/>
        <v/>
      </c>
      <c r="S44" s="48"/>
      <c r="W44" s="37">
        <f t="shared" si="2"/>
        <v>0</v>
      </c>
      <c r="X44" s="37" t="e">
        <f t="shared" si="3"/>
        <v>#DIV/0!</v>
      </c>
    </row>
    <row r="45" spans="1:24" ht="16.5" customHeight="1" x14ac:dyDescent="0.25">
      <c r="A45" s="49"/>
      <c r="B45" s="711"/>
      <c r="C45" s="711"/>
      <c r="D45" s="711"/>
      <c r="E45" s="711"/>
      <c r="F45" s="711"/>
      <c r="G45" s="711"/>
      <c r="H45" s="711"/>
      <c r="I45" s="711"/>
      <c r="J45" s="711"/>
      <c r="K45" s="245" t="s">
        <v>62</v>
      </c>
      <c r="L45" s="711"/>
      <c r="M45" s="711"/>
      <c r="N45" s="711"/>
      <c r="O45" s="2201"/>
      <c r="P45" s="2202"/>
      <c r="Q45" s="712" t="str">
        <f t="shared" si="6"/>
        <v/>
      </c>
      <c r="R45" s="246" t="str">
        <f t="shared" si="7"/>
        <v/>
      </c>
      <c r="S45" s="48"/>
      <c r="T45" s="49"/>
      <c r="W45" s="37">
        <f t="shared" si="2"/>
        <v>0</v>
      </c>
      <c r="X45" s="37" t="e">
        <f t="shared" si="3"/>
        <v>#DIV/0!</v>
      </c>
    </row>
    <row r="46" spans="1:24" ht="16.5" customHeight="1" x14ac:dyDescent="0.25">
      <c r="A46" s="49"/>
      <c r="B46" s="711"/>
      <c r="C46" s="711"/>
      <c r="D46" s="711"/>
      <c r="E46" s="711"/>
      <c r="F46" s="711"/>
      <c r="G46" s="711"/>
      <c r="H46" s="711"/>
      <c r="I46" s="711"/>
      <c r="J46" s="711"/>
      <c r="K46" s="245" t="s">
        <v>62</v>
      </c>
      <c r="L46" s="711"/>
      <c r="M46" s="711"/>
      <c r="N46" s="711"/>
      <c r="O46" s="2201"/>
      <c r="P46" s="2202"/>
      <c r="Q46" s="712" t="str">
        <f t="shared" si="6"/>
        <v/>
      </c>
      <c r="R46" s="246" t="str">
        <f t="shared" si="7"/>
        <v/>
      </c>
      <c r="S46" s="48"/>
      <c r="T46" s="49"/>
      <c r="W46" s="37">
        <f t="shared" si="2"/>
        <v>0</v>
      </c>
      <c r="X46" s="37" t="e">
        <f t="shared" si="3"/>
        <v>#DIV/0!</v>
      </c>
    </row>
    <row r="47" spans="1:24" ht="16.5" customHeight="1" x14ac:dyDescent="0.25">
      <c r="A47" s="49"/>
      <c r="B47" s="410"/>
      <c r="C47" s="410"/>
      <c r="D47" s="410"/>
      <c r="E47" s="410"/>
      <c r="F47" s="410"/>
      <c r="G47" s="410"/>
      <c r="H47" s="410"/>
      <c r="I47" s="410"/>
      <c r="J47" s="410"/>
      <c r="K47" s="245" t="s">
        <v>62</v>
      </c>
      <c r="L47" s="410"/>
      <c r="M47" s="410"/>
      <c r="N47" s="410"/>
      <c r="O47" s="2201"/>
      <c r="P47" s="2202"/>
      <c r="Q47" s="411" t="str">
        <f t="shared" si="4"/>
        <v/>
      </c>
      <c r="R47" s="246" t="str">
        <f t="shared" si="5"/>
        <v/>
      </c>
      <c r="S47" s="48"/>
      <c r="T47" s="49"/>
      <c r="W47" s="37">
        <f t="shared" si="2"/>
        <v>0</v>
      </c>
      <c r="X47" s="37" t="e">
        <f t="shared" si="3"/>
        <v>#DIV/0!</v>
      </c>
    </row>
    <row r="48" spans="1:24" ht="16.5" customHeight="1" x14ac:dyDescent="0.25">
      <c r="A48" s="49"/>
      <c r="B48" s="410"/>
      <c r="C48" s="410"/>
      <c r="D48" s="410"/>
      <c r="E48" s="410"/>
      <c r="F48" s="410"/>
      <c r="G48" s="410"/>
      <c r="H48" s="410"/>
      <c r="I48" s="410"/>
      <c r="J48" s="410"/>
      <c r="K48" s="245" t="s">
        <v>62</v>
      </c>
      <c r="L48" s="410"/>
      <c r="M48" s="410"/>
      <c r="N48" s="410"/>
      <c r="O48" s="2201"/>
      <c r="P48" s="2202"/>
      <c r="Q48" s="411" t="str">
        <f t="shared" si="4"/>
        <v/>
      </c>
      <c r="R48" s="246" t="str">
        <f t="shared" si="5"/>
        <v/>
      </c>
      <c r="S48" s="48"/>
      <c r="T48" s="49"/>
      <c r="W48" s="37">
        <f t="shared" si="2"/>
        <v>0</v>
      </c>
      <c r="X48" s="37" t="e">
        <f t="shared" si="3"/>
        <v>#DIV/0!</v>
      </c>
    </row>
    <row r="49" spans="1:24" ht="16.5" customHeight="1" x14ac:dyDescent="0.25">
      <c r="A49" s="49"/>
      <c r="B49" s="410"/>
      <c r="C49" s="410"/>
      <c r="D49" s="410"/>
      <c r="E49" s="410"/>
      <c r="F49" s="410"/>
      <c r="G49" s="410"/>
      <c r="H49" s="410"/>
      <c r="I49" s="410"/>
      <c r="J49" s="410"/>
      <c r="K49" s="245" t="s">
        <v>62</v>
      </c>
      <c r="L49" s="410"/>
      <c r="M49" s="410"/>
      <c r="N49" s="410"/>
      <c r="O49" s="2201"/>
      <c r="P49" s="2202"/>
      <c r="Q49" s="411" t="str">
        <f t="shared" si="4"/>
        <v/>
      </c>
      <c r="R49" s="246" t="str">
        <f t="shared" si="5"/>
        <v/>
      </c>
      <c r="S49" s="48"/>
      <c r="T49" s="49"/>
      <c r="W49" s="37">
        <f t="shared" si="2"/>
        <v>0</v>
      </c>
      <c r="X49" s="37" t="e">
        <f t="shared" si="3"/>
        <v>#DIV/0!</v>
      </c>
    </row>
    <row r="50" spans="1:24" ht="16.5" customHeight="1" x14ac:dyDescent="0.25">
      <c r="A50" s="49"/>
      <c r="B50" s="410"/>
      <c r="C50" s="410"/>
      <c r="D50" s="410"/>
      <c r="E50" s="410"/>
      <c r="F50" s="410"/>
      <c r="G50" s="410"/>
      <c r="H50" s="410"/>
      <c r="I50" s="410"/>
      <c r="J50" s="410"/>
      <c r="K50" s="245" t="s">
        <v>62</v>
      </c>
      <c r="L50" s="410"/>
      <c r="M50" s="410"/>
      <c r="N50" s="410"/>
      <c r="O50" s="2201"/>
      <c r="P50" s="2202"/>
      <c r="Q50" s="411" t="str">
        <f t="shared" si="4"/>
        <v/>
      </c>
      <c r="R50" s="246" t="str">
        <f t="shared" si="5"/>
        <v/>
      </c>
      <c r="S50" s="48"/>
      <c r="T50" s="49"/>
      <c r="W50" s="37">
        <f t="shared" si="2"/>
        <v>0</v>
      </c>
      <c r="X50" s="37" t="e">
        <f t="shared" si="3"/>
        <v>#DIV/0!</v>
      </c>
    </row>
    <row r="51" spans="1:24" ht="16.5" customHeight="1" x14ac:dyDescent="0.25">
      <c r="A51" s="49"/>
      <c r="B51" s="106"/>
      <c r="C51" s="106"/>
      <c r="D51" s="106"/>
      <c r="E51" s="106"/>
      <c r="F51" s="106"/>
      <c r="G51" s="106"/>
      <c r="H51" s="106"/>
      <c r="I51" s="106"/>
      <c r="J51" s="106"/>
      <c r="K51" s="245" t="s">
        <v>62</v>
      </c>
      <c r="L51" s="106"/>
      <c r="M51" s="106"/>
      <c r="N51" s="106"/>
      <c r="O51" s="2201"/>
      <c r="P51" s="2202"/>
      <c r="Q51" s="374" t="str">
        <f t="shared" si="0"/>
        <v/>
      </c>
      <c r="R51" s="246" t="str">
        <f t="shared" si="1"/>
        <v/>
      </c>
      <c r="S51" s="48"/>
      <c r="T51" s="49"/>
      <c r="W51" s="37">
        <f t="shared" si="2"/>
        <v>0</v>
      </c>
      <c r="X51" s="37" t="e">
        <f t="shared" si="3"/>
        <v>#DIV/0!</v>
      </c>
    </row>
    <row r="52" spans="1:24" ht="16.5" customHeight="1" x14ac:dyDescent="0.25">
      <c r="A52" s="49"/>
      <c r="B52" s="106"/>
      <c r="C52" s="106"/>
      <c r="D52" s="106"/>
      <c r="E52" s="106"/>
      <c r="F52" s="106"/>
      <c r="G52" s="106"/>
      <c r="H52" s="106"/>
      <c r="I52" s="106"/>
      <c r="J52" s="106"/>
      <c r="K52" s="245" t="s">
        <v>62</v>
      </c>
      <c r="L52" s="106"/>
      <c r="M52" s="106"/>
      <c r="N52" s="106"/>
      <c r="O52" s="2201"/>
      <c r="P52" s="2202"/>
      <c r="Q52" s="374" t="str">
        <f t="shared" si="0"/>
        <v/>
      </c>
      <c r="R52" s="246" t="str">
        <f t="shared" si="1"/>
        <v/>
      </c>
      <c r="S52" s="48"/>
      <c r="T52" s="49"/>
      <c r="W52" s="37">
        <f t="shared" si="2"/>
        <v>0</v>
      </c>
      <c r="X52" s="37" t="e">
        <f t="shared" si="3"/>
        <v>#DIV/0!</v>
      </c>
    </row>
    <row r="53" spans="1:24" ht="16.5" customHeight="1" x14ac:dyDescent="0.25">
      <c r="A53" s="49"/>
      <c r="B53" s="106"/>
      <c r="C53" s="106"/>
      <c r="D53" s="106"/>
      <c r="E53" s="106"/>
      <c r="F53" s="106"/>
      <c r="G53" s="106"/>
      <c r="H53" s="106"/>
      <c r="I53" s="106"/>
      <c r="J53" s="106"/>
      <c r="K53" s="245" t="s">
        <v>62</v>
      </c>
      <c r="L53" s="106"/>
      <c r="M53" s="106"/>
      <c r="N53" s="106"/>
      <c r="O53" s="2201"/>
      <c r="P53" s="2202"/>
      <c r="Q53" s="374" t="str">
        <f t="shared" si="0"/>
        <v/>
      </c>
      <c r="R53" s="246" t="str">
        <f t="shared" si="1"/>
        <v/>
      </c>
      <c r="S53" s="48"/>
      <c r="T53" s="49"/>
      <c r="W53" s="37">
        <f t="shared" si="2"/>
        <v>0</v>
      </c>
      <c r="X53" s="37" t="e">
        <f t="shared" si="3"/>
        <v>#DIV/0!</v>
      </c>
    </row>
    <row r="54" spans="1:24" ht="16.5" customHeight="1" x14ac:dyDescent="0.25">
      <c r="A54" s="49"/>
      <c r="B54" s="106"/>
      <c r="C54" s="106"/>
      <c r="D54" s="106"/>
      <c r="E54" s="106"/>
      <c r="F54" s="106"/>
      <c r="G54" s="106"/>
      <c r="H54" s="106"/>
      <c r="I54" s="106"/>
      <c r="J54" s="106"/>
      <c r="K54" s="245" t="s">
        <v>62</v>
      </c>
      <c r="L54" s="106"/>
      <c r="M54" s="106"/>
      <c r="N54" s="106"/>
      <c r="O54" s="2201"/>
      <c r="P54" s="2202"/>
      <c r="Q54" s="374" t="str">
        <f t="shared" si="0"/>
        <v/>
      </c>
      <c r="R54" s="246" t="str">
        <f t="shared" si="1"/>
        <v/>
      </c>
      <c r="S54" s="48"/>
      <c r="T54" s="49"/>
      <c r="W54" s="37">
        <f t="shared" si="2"/>
        <v>0</v>
      </c>
      <c r="X54" s="37" t="e">
        <f t="shared" si="3"/>
        <v>#DIV/0!</v>
      </c>
    </row>
    <row r="55" spans="1:24" ht="16.5" customHeight="1" x14ac:dyDescent="0.25">
      <c r="A55" s="49"/>
      <c r="B55" s="106"/>
      <c r="C55" s="106"/>
      <c r="D55" s="106"/>
      <c r="E55" s="106"/>
      <c r="F55" s="106"/>
      <c r="G55" s="106"/>
      <c r="H55" s="106"/>
      <c r="I55" s="106"/>
      <c r="J55" s="106"/>
      <c r="K55" s="245" t="s">
        <v>62</v>
      </c>
      <c r="L55" s="106"/>
      <c r="M55" s="106"/>
      <c r="N55" s="106"/>
      <c r="O55" s="2201"/>
      <c r="P55" s="2202"/>
      <c r="Q55" s="374" t="str">
        <f t="shared" si="0"/>
        <v/>
      </c>
      <c r="R55" s="246" t="str">
        <f t="shared" si="1"/>
        <v/>
      </c>
      <c r="S55" s="48"/>
      <c r="T55" s="49"/>
      <c r="W55" s="37">
        <f t="shared" si="2"/>
        <v>0</v>
      </c>
      <c r="X55" s="37" t="e">
        <f t="shared" si="3"/>
        <v>#DIV/0!</v>
      </c>
    </row>
    <row r="56" spans="1:24" ht="16.5" customHeight="1" x14ac:dyDescent="0.25">
      <c r="A56" s="49"/>
      <c r="B56" s="106"/>
      <c r="C56" s="106"/>
      <c r="D56" s="106"/>
      <c r="E56" s="106"/>
      <c r="F56" s="106"/>
      <c r="G56" s="106"/>
      <c r="H56" s="106"/>
      <c r="I56" s="106"/>
      <c r="J56" s="106"/>
      <c r="K56" s="245" t="s">
        <v>62</v>
      </c>
      <c r="L56" s="106"/>
      <c r="M56" s="106"/>
      <c r="N56" s="106"/>
      <c r="O56" s="2201"/>
      <c r="P56" s="2202"/>
      <c r="Q56" s="374" t="str">
        <f t="shared" si="0"/>
        <v/>
      </c>
      <c r="R56" s="246" t="str">
        <f t="shared" si="1"/>
        <v/>
      </c>
      <c r="S56" s="48"/>
      <c r="T56" s="49"/>
      <c r="W56" s="37">
        <f t="shared" si="2"/>
        <v>0</v>
      </c>
      <c r="X56" s="37" t="e">
        <f t="shared" si="3"/>
        <v>#DIV/0!</v>
      </c>
    </row>
    <row r="57" spans="1:24" ht="16.5" customHeight="1" x14ac:dyDescent="0.25">
      <c r="A57" s="49"/>
      <c r="B57" s="49"/>
      <c r="C57" s="49"/>
      <c r="D57" s="49"/>
      <c r="E57" s="49"/>
      <c r="F57" s="49"/>
      <c r="G57" s="49"/>
      <c r="H57" s="49"/>
      <c r="I57" s="49"/>
      <c r="J57" s="49"/>
      <c r="K57" s="49"/>
      <c r="L57" s="49"/>
      <c r="M57" s="49"/>
      <c r="N57" s="49"/>
      <c r="O57" s="49"/>
      <c r="P57" s="49"/>
      <c r="Q57" s="49"/>
      <c r="R57" s="48"/>
      <c r="S57" s="49"/>
      <c r="T57" s="49"/>
    </row>
    <row r="58" spans="1:24" ht="18.75" customHeight="1" x14ac:dyDescent="0.25">
      <c r="A58" s="49"/>
      <c r="B58" s="2102" t="s">
        <v>1649</v>
      </c>
      <c r="C58" s="2102"/>
      <c r="D58" s="2102"/>
      <c r="E58" s="174">
        <f>SUMIF(R37:R56,"Yes",C37:C56)</f>
        <v>0</v>
      </c>
      <c r="F58" s="49"/>
      <c r="G58" s="49"/>
      <c r="H58" s="49"/>
      <c r="I58" s="49"/>
      <c r="J58" s="49"/>
      <c r="K58" s="49"/>
      <c r="L58" s="49"/>
      <c r="M58" s="49"/>
      <c r="N58" s="49"/>
      <c r="O58" s="49"/>
      <c r="P58" s="49"/>
      <c r="Q58" s="49"/>
      <c r="R58" s="49"/>
      <c r="S58" s="49"/>
      <c r="T58" s="49"/>
    </row>
    <row r="59" spans="1:24" ht="18.75" customHeight="1" x14ac:dyDescent="0.25">
      <c r="A59" s="49"/>
      <c r="B59" s="2102" t="s">
        <v>196</v>
      </c>
      <c r="C59" s="2102"/>
      <c r="D59" s="2102"/>
      <c r="E59" s="70">
        <f>IFERROR(E58/SUM(C37:C56),0)</f>
        <v>0</v>
      </c>
      <c r="F59" s="49"/>
      <c r="G59" s="49"/>
      <c r="H59" s="49"/>
      <c r="I59" s="49"/>
      <c r="J59" s="49"/>
      <c r="K59" s="49"/>
      <c r="L59" s="49"/>
      <c r="M59" s="49"/>
      <c r="N59" s="49"/>
      <c r="O59" s="49"/>
      <c r="P59" s="49"/>
      <c r="Q59" s="49"/>
      <c r="R59" s="49"/>
      <c r="S59" s="49"/>
      <c r="T59" s="49"/>
    </row>
    <row r="60" spans="1:24" ht="19.5" customHeight="1" x14ac:dyDescent="0.25">
      <c r="A60" s="49"/>
      <c r="B60" s="49"/>
      <c r="C60" s="49"/>
      <c r="D60" s="49"/>
      <c r="E60" s="49"/>
      <c r="F60" s="49"/>
      <c r="G60" s="49"/>
      <c r="H60" s="49"/>
      <c r="I60" s="49"/>
      <c r="J60" s="49"/>
      <c r="K60" s="49"/>
      <c r="L60" s="49"/>
      <c r="M60" s="49"/>
      <c r="N60" s="49"/>
      <c r="O60" s="49"/>
      <c r="P60" s="49"/>
      <c r="Q60" s="49"/>
      <c r="R60" s="49"/>
      <c r="S60" s="49"/>
      <c r="T60" s="49"/>
    </row>
    <row r="61" spans="1:24" ht="18" customHeight="1" x14ac:dyDescent="0.25">
      <c r="A61" s="2092" t="s">
        <v>97</v>
      </c>
      <c r="B61" s="2092"/>
      <c r="C61" s="2092"/>
      <c r="D61" s="2092"/>
      <c r="E61" s="2092"/>
      <c r="F61" s="2092"/>
      <c r="G61" s="2092"/>
      <c r="H61" s="2092"/>
      <c r="I61" s="2092"/>
      <c r="J61" s="2092"/>
      <c r="K61" s="2092"/>
      <c r="L61" s="2092"/>
      <c r="M61" s="2092"/>
      <c r="N61" s="2092"/>
      <c r="O61" s="2092"/>
      <c r="P61" s="2092"/>
      <c r="Q61" s="2092"/>
      <c r="R61" s="2092"/>
      <c r="S61" s="2092"/>
      <c r="T61" s="49"/>
    </row>
    <row r="62" spans="1:24" x14ac:dyDescent="0.25">
      <c r="A62" s="49"/>
      <c r="B62" s="552"/>
      <c r="C62" s="552"/>
      <c r="D62" s="552"/>
      <c r="E62" s="552"/>
      <c r="F62" s="552"/>
      <c r="G62" s="552"/>
      <c r="H62" s="552"/>
      <c r="I62" s="552"/>
      <c r="J62" s="552"/>
      <c r="K62" s="552"/>
      <c r="L62" s="552"/>
      <c r="M62" s="49"/>
      <c r="N62" s="49"/>
      <c r="O62" s="49"/>
      <c r="P62" s="552"/>
      <c r="Q62" s="49"/>
      <c r="R62" s="49"/>
      <c r="S62" s="49"/>
      <c r="T62" s="49"/>
    </row>
    <row r="63" spans="1:24" ht="21" customHeight="1" x14ac:dyDescent="0.25">
      <c r="A63" s="49"/>
      <c r="B63" s="2207" t="s">
        <v>98</v>
      </c>
      <c r="C63" s="2208"/>
      <c r="D63" s="2208"/>
      <c r="E63" s="2208"/>
      <c r="F63" s="2208"/>
      <c r="G63" s="2208"/>
      <c r="H63" s="2208"/>
      <c r="I63" s="2208"/>
      <c r="J63" s="2208"/>
      <c r="K63" s="2206" t="s">
        <v>1297</v>
      </c>
      <c r="L63" s="2206"/>
      <c r="M63" s="2095" t="s">
        <v>1298</v>
      </c>
      <c r="N63" s="2095"/>
      <c r="O63" s="2095"/>
      <c r="P63" s="2136"/>
      <c r="Q63" s="49"/>
      <c r="R63" s="49"/>
      <c r="S63" s="49"/>
      <c r="T63" s="49"/>
    </row>
    <row r="64" spans="1:24" ht="27" customHeight="1" x14ac:dyDescent="0.25">
      <c r="A64" s="49"/>
      <c r="B64" s="1906" t="str">
        <f>Submittals!H105</f>
        <v>Select the Submission Stage in Project Information</v>
      </c>
      <c r="C64" s="1907"/>
      <c r="D64" s="1907"/>
      <c r="E64" s="1907"/>
      <c r="F64" s="1907"/>
      <c r="G64" s="1907"/>
      <c r="H64" s="1907"/>
      <c r="I64" s="1907"/>
      <c r="J64" s="2205"/>
      <c r="K64" s="1648" t="s">
        <v>62</v>
      </c>
      <c r="L64" s="1648"/>
      <c r="M64" s="1625"/>
      <c r="N64" s="1662"/>
      <c r="O64" s="1662"/>
      <c r="P64" s="1626"/>
      <c r="Q64" s="49"/>
      <c r="R64" s="49"/>
      <c r="S64" s="49"/>
      <c r="T64" s="49"/>
      <c r="U64" s="37" t="str">
        <f>IF(OR(B64="/",B64="No evidence required at this submission stage"),"Yes",IF(K64="Submitted","Yes","No"))</f>
        <v>No</v>
      </c>
    </row>
    <row r="65" spans="1:43" ht="30" customHeight="1" x14ac:dyDescent="0.25">
      <c r="A65" s="49"/>
      <c r="B65" s="1906" t="str">
        <f>Submittals!H106</f>
        <v>Select the Submission Stage in Project Information</v>
      </c>
      <c r="C65" s="1907"/>
      <c r="D65" s="1907"/>
      <c r="E65" s="1907"/>
      <c r="F65" s="1907"/>
      <c r="G65" s="1907"/>
      <c r="H65" s="1907"/>
      <c r="I65" s="1907"/>
      <c r="J65" s="2205"/>
      <c r="K65" s="1625" t="s">
        <v>62</v>
      </c>
      <c r="L65" s="1626"/>
      <c r="M65" s="1625"/>
      <c r="N65" s="1662"/>
      <c r="O65" s="1662"/>
      <c r="P65" s="1626"/>
      <c r="Q65" s="49"/>
      <c r="R65" s="49"/>
      <c r="S65" s="49"/>
      <c r="T65" s="49"/>
      <c r="U65" s="37" t="str">
        <f>IF(OR(B65="/",B65="No evidence required at this submission stage"),"Yes",IF(OR(K65="Already approved at PC",K65="Submitted"),"Yes","No"))</f>
        <v>No</v>
      </c>
    </row>
    <row r="66" spans="1:43" ht="30" customHeight="1" x14ac:dyDescent="0.25">
      <c r="A66" s="49"/>
      <c r="B66" s="1906" t="str">
        <f>Submittals!H107</f>
        <v>Select the Submission Stage in Project Information</v>
      </c>
      <c r="C66" s="1907"/>
      <c r="D66" s="1907"/>
      <c r="E66" s="1907"/>
      <c r="F66" s="1907"/>
      <c r="G66" s="1907"/>
      <c r="H66" s="1907"/>
      <c r="I66" s="1907"/>
      <c r="J66" s="2205"/>
      <c r="K66" s="1625" t="s">
        <v>62</v>
      </c>
      <c r="L66" s="1626"/>
      <c r="M66" s="1625"/>
      <c r="N66" s="1662"/>
      <c r="O66" s="1662"/>
      <c r="P66" s="1626"/>
      <c r="Q66" s="49"/>
      <c r="R66" s="49"/>
      <c r="S66" s="49"/>
      <c r="T66" s="49"/>
      <c r="U66" s="37" t="str">
        <f>IF(OR(B66="/",B66="No evidence required at this submission stage"),"Yes",IF(OR(K66="Already approved at PC",K66="Submitted"),"Yes","No"))</f>
        <v>No</v>
      </c>
    </row>
    <row r="67" spans="1:43" s="379" customFormat="1" ht="20.25" customHeight="1" x14ac:dyDescent="0.25">
      <c r="A67" s="49"/>
      <c r="B67" s="49"/>
      <c r="C67" s="49"/>
      <c r="D67" s="49"/>
      <c r="E67" s="49"/>
      <c r="F67" s="49"/>
      <c r="G67" s="49"/>
      <c r="H67" s="49"/>
      <c r="I67" s="49"/>
      <c r="J67" s="49"/>
      <c r="K67" s="49"/>
      <c r="L67" s="49"/>
      <c r="M67" s="49"/>
      <c r="N67" s="49"/>
      <c r="O67" s="49"/>
      <c r="P67" s="49"/>
      <c r="Q67" s="49"/>
      <c r="R67" s="49"/>
      <c r="S67" s="49"/>
      <c r="T67" s="49"/>
      <c r="U67" s="37"/>
      <c r="V67" s="37"/>
      <c r="W67" s="37"/>
      <c r="X67" s="37"/>
      <c r="Y67" s="37"/>
      <c r="Z67" s="37"/>
      <c r="AA67" s="37"/>
      <c r="AB67" s="37"/>
      <c r="AC67" s="37"/>
      <c r="AD67" s="37"/>
      <c r="AE67" s="37"/>
      <c r="AF67" s="37"/>
      <c r="AG67" s="37"/>
      <c r="AH67" s="37"/>
      <c r="AI67" s="37"/>
      <c r="AJ67" s="37"/>
      <c r="AK67" s="37"/>
      <c r="AL67" s="37"/>
      <c r="AM67" s="37"/>
      <c r="AN67" s="37"/>
      <c r="AO67" s="37"/>
      <c r="AP67" s="37"/>
      <c r="AQ67" s="37"/>
    </row>
    <row r="68" spans="1:43" ht="18" customHeight="1" x14ac:dyDescent="0.25">
      <c r="A68" s="2092" t="s">
        <v>8</v>
      </c>
      <c r="B68" s="2092"/>
      <c r="C68" s="2092"/>
      <c r="D68" s="2092"/>
      <c r="E68" s="2092"/>
      <c r="F68" s="2092"/>
      <c r="G68" s="2092"/>
      <c r="H68" s="2092"/>
      <c r="I68" s="2092"/>
      <c r="J68" s="2092"/>
      <c r="K68" s="2092"/>
      <c r="L68" s="2092"/>
      <c r="M68" s="2092"/>
      <c r="N68" s="2092"/>
      <c r="O68" s="2092"/>
      <c r="P68" s="2092"/>
      <c r="Q68" s="2092"/>
      <c r="R68" s="2092"/>
      <c r="S68" s="2092"/>
      <c r="T68" s="49"/>
    </row>
    <row r="69" spans="1:43" ht="15.75" customHeight="1" x14ac:dyDescent="0.25">
      <c r="A69" s="49"/>
      <c r="B69" s="49"/>
      <c r="C69" s="49"/>
      <c r="D69" s="49"/>
      <c r="E69" s="49"/>
      <c r="F69" s="49"/>
      <c r="G69" s="49"/>
      <c r="H69" s="49"/>
      <c r="I69" s="49"/>
      <c r="J69" s="49"/>
      <c r="K69" s="49"/>
      <c r="L69" s="49"/>
      <c r="M69" s="49"/>
      <c r="N69" s="49"/>
      <c r="O69" s="49"/>
      <c r="P69" s="49"/>
      <c r="Q69" s="49"/>
      <c r="R69" s="49"/>
      <c r="S69" s="49"/>
      <c r="T69" s="49"/>
    </row>
    <row r="70" spans="1:43" ht="18" customHeight="1" x14ac:dyDescent="0.25">
      <c r="A70" s="49"/>
      <c r="B70" s="145" t="s">
        <v>19</v>
      </c>
      <c r="C70" s="2203">
        <f>IF(E59&gt;=0.8,2,IF(E59&gt;=0.6,1,0))</f>
        <v>0</v>
      </c>
      <c r="D70" s="2203"/>
      <c r="E70" s="49"/>
      <c r="F70" s="49"/>
      <c r="G70" s="49"/>
      <c r="H70" s="49"/>
      <c r="I70" s="49"/>
      <c r="J70" s="49"/>
      <c r="K70" s="49"/>
      <c r="L70" s="49"/>
      <c r="M70" s="49"/>
      <c r="N70" s="49"/>
      <c r="O70" s="49"/>
      <c r="P70" s="49"/>
      <c r="Q70" s="49"/>
      <c r="R70" s="49"/>
      <c r="S70" s="49"/>
      <c r="T70" s="49"/>
    </row>
    <row r="71" spans="1:43" ht="18" customHeight="1" x14ac:dyDescent="0.25">
      <c r="A71" s="49"/>
      <c r="B71" s="146" t="s">
        <v>151</v>
      </c>
      <c r="C71" s="2204" t="str">
        <f>IF(AND(COUNTIF(U64:U66,"Yes")=3,C70&gt;0),"Yes","No")</f>
        <v>No</v>
      </c>
      <c r="D71" s="2204"/>
      <c r="E71" s="49"/>
      <c r="F71" s="49"/>
      <c r="G71" s="49"/>
      <c r="H71" s="49"/>
      <c r="I71" s="49"/>
      <c r="J71" s="49"/>
      <c r="K71" s="49"/>
      <c r="L71" s="49"/>
      <c r="M71" s="49"/>
      <c r="N71" s="49"/>
      <c r="O71" s="49"/>
      <c r="P71" s="49"/>
      <c r="Q71" s="49"/>
      <c r="R71" s="49"/>
      <c r="S71" s="49"/>
      <c r="T71" s="49"/>
    </row>
    <row r="72" spans="1:43" ht="18" customHeight="1" x14ac:dyDescent="0.25">
      <c r="A72" s="49"/>
      <c r="B72" s="49"/>
      <c r="C72" s="49"/>
      <c r="D72" s="49"/>
      <c r="E72" s="49"/>
      <c r="F72" s="49"/>
      <c r="G72" s="49"/>
      <c r="H72" s="49"/>
      <c r="I72" s="49"/>
      <c r="J72" s="49"/>
      <c r="K72" s="49"/>
      <c r="L72" s="49"/>
      <c r="M72" s="49"/>
      <c r="N72" s="49"/>
      <c r="O72" s="49"/>
      <c r="P72" s="49"/>
      <c r="Q72" s="49"/>
      <c r="R72" s="49"/>
      <c r="S72" s="49"/>
      <c r="T72" s="49"/>
    </row>
    <row r="73" spans="1:43" hidden="1" x14ac:dyDescent="0.25">
      <c r="A73" s="49"/>
      <c r="B73" s="49"/>
      <c r="C73" s="49"/>
      <c r="D73" s="49"/>
      <c r="E73" s="49"/>
      <c r="F73" s="49"/>
      <c r="G73" s="49"/>
      <c r="H73" s="49"/>
      <c r="I73" s="49"/>
      <c r="J73" s="49"/>
      <c r="K73" s="49"/>
      <c r="L73" s="49"/>
      <c r="M73" s="49"/>
      <c r="N73" s="49"/>
      <c r="O73" s="49"/>
      <c r="P73" s="49"/>
      <c r="Q73" s="49"/>
      <c r="R73" s="49"/>
      <c r="S73" s="49"/>
      <c r="T73" s="49"/>
    </row>
    <row r="74" spans="1:43" hidden="1" x14ac:dyDescent="0.25">
      <c r="A74" s="128"/>
      <c r="B74" s="128"/>
      <c r="C74" s="128"/>
      <c r="D74" s="128"/>
      <c r="E74" s="128"/>
      <c r="F74" s="128"/>
      <c r="G74" s="128"/>
      <c r="H74" s="128"/>
      <c r="I74" s="128"/>
      <c r="J74" s="128"/>
      <c r="K74" s="128"/>
      <c r="L74" s="128"/>
      <c r="M74" s="128"/>
      <c r="N74" s="128"/>
      <c r="O74" s="128"/>
      <c r="P74" s="128"/>
      <c r="Q74" s="128"/>
      <c r="R74" s="128"/>
      <c r="S74" s="128"/>
      <c r="T74" s="128"/>
      <c r="U74" s="128"/>
    </row>
    <row r="75" spans="1:43" ht="15" hidden="1" customHeight="1" x14ac:dyDescent="0.25"/>
    <row r="76" spans="1:43" ht="15" hidden="1" customHeight="1" x14ac:dyDescent="0.25"/>
    <row r="77" spans="1:43" ht="15" hidden="1" customHeight="1" x14ac:dyDescent="0.25"/>
    <row r="78" spans="1:43" ht="15" hidden="1" customHeight="1" x14ac:dyDescent="0.25"/>
    <row r="79" spans="1:43" ht="15" hidden="1" customHeight="1" x14ac:dyDescent="0.25"/>
    <row r="80" spans="1:43"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sheetData>
  <sheetProtection algorithmName="SHA-512" hashValue="sma5oUTJY5aQhgVC3t1y+VVzbFFg2spbWsxmwu330CcFf8xhnQeXn23ga2Au+uKJXgaGag9bzzPwn3id7aZW7Q==" saltValue="08yy196hzw3suWdb1Uu8KA==" spinCount="100000" sheet="1" objects="1" scenarios="1"/>
  <mergeCells count="69">
    <mergeCell ref="A1:S1"/>
    <mergeCell ref="A9:S9"/>
    <mergeCell ref="A14:S14"/>
    <mergeCell ref="A27:S27"/>
    <mergeCell ref="A61:S61"/>
    <mergeCell ref="O50:P50"/>
    <mergeCell ref="O42:P42"/>
    <mergeCell ref="O43:P43"/>
    <mergeCell ref="O44:P44"/>
    <mergeCell ref="O45:P45"/>
    <mergeCell ref="O46:P46"/>
    <mergeCell ref="A5:S7"/>
    <mergeCell ref="O39:P39"/>
    <mergeCell ref="O40:P40"/>
    <mergeCell ref="K35:K36"/>
    <mergeCell ref="O41:P41"/>
    <mergeCell ref="C70:D70"/>
    <mergeCell ref="C71:D71"/>
    <mergeCell ref="A68:S68"/>
    <mergeCell ref="K64:L64"/>
    <mergeCell ref="O56:P56"/>
    <mergeCell ref="M63:P63"/>
    <mergeCell ref="M64:P64"/>
    <mergeCell ref="M66:P66"/>
    <mergeCell ref="B66:J66"/>
    <mergeCell ref="K66:L66"/>
    <mergeCell ref="K63:L63"/>
    <mergeCell ref="B63:J63"/>
    <mergeCell ref="B64:J64"/>
    <mergeCell ref="B65:J65"/>
    <mergeCell ref="K65:L65"/>
    <mergeCell ref="M65:P65"/>
    <mergeCell ref="B35:B36"/>
    <mergeCell ref="B58:D58"/>
    <mergeCell ref="B59:D59"/>
    <mergeCell ref="O37:P37"/>
    <mergeCell ref="O38:P38"/>
    <mergeCell ref="O55:P55"/>
    <mergeCell ref="O51:P51"/>
    <mergeCell ref="O52:P52"/>
    <mergeCell ref="F35:H35"/>
    <mergeCell ref="I35:I36"/>
    <mergeCell ref="O47:P47"/>
    <mergeCell ref="O48:P48"/>
    <mergeCell ref="O49:P49"/>
    <mergeCell ref="O53:P53"/>
    <mergeCell ref="O54:P54"/>
    <mergeCell ref="X35:X36"/>
    <mergeCell ref="R35:R36"/>
    <mergeCell ref="J35:J36"/>
    <mergeCell ref="L35:N35"/>
    <mergeCell ref="Q35:Q36"/>
    <mergeCell ref="O35:P36"/>
    <mergeCell ref="L2:O4"/>
    <mergeCell ref="B11:H11"/>
    <mergeCell ref="I11:J11"/>
    <mergeCell ref="W35:W36"/>
    <mergeCell ref="K11:L11"/>
    <mergeCell ref="B33:D33"/>
    <mergeCell ref="E33:G33"/>
    <mergeCell ref="K12:L12"/>
    <mergeCell ref="B18:N20"/>
    <mergeCell ref="M11:O11"/>
    <mergeCell ref="M12:O12"/>
    <mergeCell ref="I12:J12"/>
    <mergeCell ref="B12:H12"/>
    <mergeCell ref="C35:C36"/>
    <mergeCell ref="D35:D36"/>
    <mergeCell ref="E35:E36"/>
  </mergeCells>
  <conditionalFormatting sqref="O37:P56">
    <cfRule type="expression" dxfId="287" priority="12">
      <formula>$E$33="Spreadsheet calculations"</formula>
    </cfRule>
  </conditionalFormatting>
  <conditionalFormatting sqref="K64:M64">
    <cfRule type="expression" dxfId="286" priority="10">
      <formula>$B64="/"</formula>
    </cfRule>
    <cfRule type="expression" dxfId="285" priority="11">
      <formula>$B64="No evidence required at this submission stage"</formula>
    </cfRule>
  </conditionalFormatting>
  <conditionalFormatting sqref="M65">
    <cfRule type="expression" dxfId="284" priority="7">
      <formula>$B65="/"</formula>
    </cfRule>
    <cfRule type="expression" dxfId="283" priority="8">
      <formula>$B65="No evidence required at this submission stage"</formula>
    </cfRule>
  </conditionalFormatting>
  <conditionalFormatting sqref="M66">
    <cfRule type="expression" dxfId="282" priority="5">
      <formula>$B66="/"</formula>
    </cfRule>
    <cfRule type="expression" dxfId="281" priority="6">
      <formula>$B66="No evidence required at this submission stage"</formula>
    </cfRule>
  </conditionalFormatting>
  <conditionalFormatting sqref="K66">
    <cfRule type="expression" dxfId="280" priority="1">
      <formula>$B66="/"</formula>
    </cfRule>
    <cfRule type="expression" dxfId="279" priority="2">
      <formula>$B66="No evidence required at this submission stage"</formula>
    </cfRule>
  </conditionalFormatting>
  <conditionalFormatting sqref="K65">
    <cfRule type="expression" dxfId="278" priority="3">
      <formula>$B65="/"</formula>
    </cfRule>
    <cfRule type="expression" dxfId="277" priority="4">
      <formula>$B65="No evidence required at this submission stage"</formula>
    </cfRule>
  </conditionalFormatting>
  <dataValidations xWindow="730" yWindow="561" count="9">
    <dataValidation allowBlank="1" showInputMessage="1" showErrorMessage="1" prompt="Angle of visible sky from the mid-point of the window [degrees]" sqref="E35:E36"/>
    <dataValidation allowBlank="1" showInputMessage="1" showErrorMessage="1" prompt="Maintenance factor. This factor considers the dirt on the exterior surface of the glass and takes into account the location of the building, the use of the room and the slope of the fenestration " sqref="I35:I36"/>
    <dataValidation allowBlank="1" showInputMessage="1" showErrorMessage="1" prompt="Visible light transmission (Values of Table in Resources can be used if manufacturer’s data is not available)" sqref="J35:J36"/>
    <dataValidation allowBlank="1" showInputMessage="1" showErrorMessage="1" prompt="Reflectance of surrounding room surfaces _x000a_(recommended values in Resources can be used)" sqref="L35:N35"/>
    <dataValidation type="list" allowBlank="1" showInputMessage="1" showErrorMessage="1" sqref="E33:G33">
      <formula1>"Select,Daylight modelling software, Spreadsheet calculations"</formula1>
    </dataValidation>
    <dataValidation allowBlank="1" showInputMessage="1" showErrorMessage="1" prompt="Are manual shadings provided?" sqref="K35:K36"/>
    <dataValidation type="list" allowBlank="1" showInputMessage="1" showErrorMessage="1" prompt="Are manual shadings provided?" sqref="K37:K56">
      <formula1>"Select,Yes,No"</formula1>
    </dataValidation>
    <dataValidation type="list" allowBlank="1" showInputMessage="1" showErrorMessage="1" sqref="K64:L64">
      <formula1>"Select,Submitted,Not submitted"</formula1>
    </dataValidation>
    <dataValidation type="list" allowBlank="1" showInputMessage="1" showErrorMessage="1" sqref="K65:K66">
      <formula1>Sub_FC</formula1>
    </dataValidation>
  </dataValidations>
  <hyperlinks>
    <hyperlink ref="P4" location="'H-2 CO2 Monitoring'!B3" tooltip="H-2" display="H-2"/>
    <hyperlink ref="P3" location="'H-1 Fresh Air Supply'!B3" tooltip="H-1" display="H-1"/>
    <hyperlink ref="P2" location="'H-PR-1 Indoor Smoking'!B3" tooltip="H-PR-1" display="H-PR-1"/>
    <hyperlink ref="R4" location="'H-9 Lighting Comfort'!B3" tooltip="H-9" display="H-9"/>
    <hyperlink ref="Q4" location="'H-5 Interior Plants'!B3" tooltip="H-5" display="H-5"/>
    <hyperlink ref="S2" location="'H-10 Thermal Comfort'!B3" tooltip="H-10" display="H-10"/>
    <hyperlink ref="S4" location="'H-12 Post-occupancy Comfort'!B3" tooltip="H-12" display="H-12"/>
    <hyperlink ref="R3" location="'H-8 External Views'!B3" tooltip="H-8" display="H-8"/>
    <hyperlink ref="Q3" location="'H-4 Removal of pollutants'!B3" tooltip="H-4" display="H-4"/>
    <hyperlink ref="R2" location="'H-6 Green Cleaning'!B3" tooltip="H-6" display="H-6"/>
    <hyperlink ref="Q2" location="'H-3 Low-VOC Emissions '!D3" tooltip="H-3" display="H-3"/>
    <hyperlink ref="S3" location="'H-11 Acoustic Comfort'!B3" tooltip="H-11" display="H-11"/>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43634"/>
  </sheetPr>
  <dimension ref="A1:P272"/>
  <sheetViews>
    <sheetView showRowColHeaders="0" workbookViewId="0">
      <pane ySplit="8" topLeftCell="A9" activePane="bottomLeft" state="frozen"/>
      <selection pane="bottomLeft" activeCell="C43" sqref="C43:D46"/>
    </sheetView>
  </sheetViews>
  <sheetFormatPr defaultColWidth="0" defaultRowHeight="15" customHeight="1" zeroHeight="1" x14ac:dyDescent="0.25"/>
  <cols>
    <col min="1" max="1" width="5.7109375" style="37" customWidth="1"/>
    <col min="2" max="2" width="18.7109375" style="37" customWidth="1"/>
    <col min="3" max="4" width="20.7109375" style="37" customWidth="1"/>
    <col min="5" max="5" width="25.85546875" style="37" customWidth="1"/>
    <col min="6" max="6" width="10.85546875" style="37" customWidth="1"/>
    <col min="7" max="7" width="16.85546875" style="37" customWidth="1"/>
    <col min="8" max="8" width="15.7109375" style="37" customWidth="1"/>
    <col min="9" max="9" width="16.7109375" style="37" customWidth="1"/>
    <col min="10" max="13" width="8.42578125" style="37" customWidth="1"/>
    <col min="14" max="16" width="0" style="37" hidden="1" customWidth="1"/>
    <col min="17" max="16384" width="9.140625" style="37" hidden="1"/>
  </cols>
  <sheetData>
    <row r="1" spans="1:14" ht="23.25" x14ac:dyDescent="0.25">
      <c r="A1" s="2104" t="s">
        <v>454</v>
      </c>
      <c r="B1" s="2104"/>
      <c r="C1" s="2104"/>
      <c r="D1" s="2104"/>
      <c r="E1" s="2104"/>
      <c r="F1" s="2104"/>
      <c r="G1" s="2104"/>
      <c r="H1" s="2104"/>
      <c r="I1" s="2104"/>
      <c r="J1" s="2104"/>
      <c r="K1" s="2104"/>
      <c r="L1" s="2104"/>
      <c r="M1" s="2104"/>
    </row>
    <row r="2" spans="1:14" ht="15" customHeight="1" x14ac:dyDescent="0.25">
      <c r="A2" s="48"/>
      <c r="B2" s="49"/>
      <c r="C2" s="49"/>
      <c r="D2" s="49"/>
      <c r="E2" s="49"/>
      <c r="F2" s="48"/>
      <c r="G2" s="175"/>
      <c r="H2" s="1694" t="s">
        <v>1702</v>
      </c>
      <c r="I2" s="1694"/>
      <c r="J2" s="752" t="s">
        <v>340</v>
      </c>
      <c r="K2" s="752" t="s">
        <v>35</v>
      </c>
      <c r="L2" s="752" t="s">
        <v>313</v>
      </c>
      <c r="M2" s="752" t="s">
        <v>317</v>
      </c>
    </row>
    <row r="3" spans="1:14" ht="15" customHeight="1" x14ac:dyDescent="0.25">
      <c r="A3" s="48"/>
      <c r="B3" s="49"/>
      <c r="C3" s="49"/>
      <c r="D3" s="49"/>
      <c r="E3" s="49"/>
      <c r="F3" s="48"/>
      <c r="G3" s="175"/>
      <c r="H3" s="1694"/>
      <c r="I3" s="1694"/>
      <c r="J3" s="752" t="s">
        <v>30</v>
      </c>
      <c r="K3" s="752" t="s">
        <v>37</v>
      </c>
      <c r="L3" s="752" t="s">
        <v>314</v>
      </c>
      <c r="M3" s="752" t="s">
        <v>318</v>
      </c>
    </row>
    <row r="4" spans="1:14" ht="15" customHeight="1" x14ac:dyDescent="0.25">
      <c r="A4" s="48"/>
      <c r="B4" s="49"/>
      <c r="C4" s="49"/>
      <c r="D4" s="49"/>
      <c r="E4" s="49"/>
      <c r="F4" s="48"/>
      <c r="G4" s="176"/>
      <c r="H4" s="1695"/>
      <c r="I4" s="1695"/>
      <c r="J4" s="752" t="s">
        <v>32</v>
      </c>
      <c r="K4" s="752" t="s">
        <v>248</v>
      </c>
      <c r="L4" s="752" t="s">
        <v>316</v>
      </c>
      <c r="M4" s="752" t="s">
        <v>319</v>
      </c>
    </row>
    <row r="5" spans="1:14" ht="21" customHeight="1" x14ac:dyDescent="0.25">
      <c r="A5" s="1704" t="s">
        <v>2839</v>
      </c>
      <c r="B5" s="1705"/>
      <c r="C5" s="1705"/>
      <c r="D5" s="1705"/>
      <c r="E5" s="1705"/>
      <c r="F5" s="1705"/>
      <c r="G5" s="1705"/>
      <c r="H5" s="1705"/>
      <c r="I5" s="1705"/>
      <c r="J5" s="1705"/>
      <c r="K5" s="1705"/>
      <c r="L5" s="1705"/>
      <c r="M5" s="1706"/>
    </row>
    <row r="6" spans="1:14" ht="21" customHeight="1" x14ac:dyDescent="0.25">
      <c r="A6" s="1707"/>
      <c r="B6" s="1708"/>
      <c r="C6" s="1708"/>
      <c r="D6" s="1708"/>
      <c r="E6" s="1708"/>
      <c r="F6" s="1708"/>
      <c r="G6" s="1708"/>
      <c r="H6" s="1708"/>
      <c r="I6" s="1708"/>
      <c r="J6" s="1708"/>
      <c r="K6" s="1708"/>
      <c r="L6" s="1708"/>
      <c r="M6" s="1709"/>
    </row>
    <row r="7" spans="1:14" ht="21" customHeight="1" x14ac:dyDescent="0.25">
      <c r="A7" s="1710"/>
      <c r="B7" s="1711"/>
      <c r="C7" s="1711"/>
      <c r="D7" s="1711"/>
      <c r="E7" s="1711"/>
      <c r="F7" s="1711"/>
      <c r="G7" s="1711"/>
      <c r="H7" s="1711"/>
      <c r="I7" s="1711"/>
      <c r="J7" s="1711"/>
      <c r="K7" s="1711"/>
      <c r="L7" s="1711"/>
      <c r="M7" s="1712"/>
    </row>
    <row r="8" spans="1:14" ht="12" customHeight="1" x14ac:dyDescent="0.25">
      <c r="A8" s="48"/>
      <c r="B8" s="49"/>
      <c r="C8" s="49"/>
      <c r="D8" s="49"/>
      <c r="E8" s="49"/>
      <c r="F8" s="48"/>
      <c r="G8" s="48"/>
      <c r="H8" s="48"/>
      <c r="I8" s="48"/>
      <c r="J8" s="48"/>
      <c r="K8" s="48"/>
      <c r="L8" s="48"/>
      <c r="M8" s="48"/>
    </row>
    <row r="9" spans="1:14" ht="18" customHeight="1" x14ac:dyDescent="0.25">
      <c r="A9" s="2092" t="s">
        <v>95</v>
      </c>
      <c r="B9" s="2092"/>
      <c r="C9" s="2092"/>
      <c r="D9" s="2092"/>
      <c r="E9" s="2092"/>
      <c r="F9" s="2092"/>
      <c r="G9" s="2092"/>
      <c r="H9" s="2092"/>
      <c r="I9" s="2092"/>
      <c r="J9" s="2092"/>
      <c r="K9" s="2092"/>
      <c r="L9" s="2092"/>
      <c r="M9" s="2092"/>
    </row>
    <row r="10" spans="1:14" x14ac:dyDescent="0.25">
      <c r="A10" s="48"/>
      <c r="B10" s="49"/>
      <c r="C10" s="49"/>
      <c r="D10" s="49"/>
      <c r="E10" s="49"/>
      <c r="F10" s="48"/>
      <c r="G10" s="48"/>
      <c r="H10" s="48"/>
      <c r="I10" s="48"/>
      <c r="J10" s="48"/>
      <c r="K10" s="48"/>
      <c r="L10" s="48"/>
      <c r="M10" s="48"/>
    </row>
    <row r="11" spans="1:14" ht="21" customHeight="1" x14ac:dyDescent="0.25">
      <c r="A11" s="48"/>
      <c r="B11" s="2174" t="s">
        <v>96</v>
      </c>
      <c r="C11" s="2212"/>
      <c r="D11" s="2212"/>
      <c r="E11" s="2212"/>
      <c r="F11" s="2212"/>
      <c r="G11" s="678" t="s">
        <v>75</v>
      </c>
      <c r="H11" s="678" t="s">
        <v>19</v>
      </c>
      <c r="I11" s="811" t="s">
        <v>151</v>
      </c>
      <c r="J11" s="48"/>
      <c r="K11" s="48"/>
      <c r="L11" s="48"/>
      <c r="M11" s="48"/>
    </row>
    <row r="12" spans="1:14" ht="45" customHeight="1" x14ac:dyDescent="0.25">
      <c r="A12" s="48"/>
      <c r="B12" s="2213" t="s">
        <v>1840</v>
      </c>
      <c r="C12" s="2214" t="s">
        <v>64</v>
      </c>
      <c r="D12" s="2214" t="s">
        <v>64</v>
      </c>
      <c r="E12" s="2214" t="s">
        <v>64</v>
      </c>
      <c r="F12" s="2215">
        <v>3</v>
      </c>
      <c r="G12" s="378">
        <v>2</v>
      </c>
      <c r="H12" s="378">
        <f>C76</f>
        <v>0</v>
      </c>
      <c r="I12" s="812" t="str">
        <f>C77</f>
        <v>No</v>
      </c>
      <c r="J12" s="48"/>
      <c r="K12" s="48"/>
      <c r="L12" s="48"/>
      <c r="M12" s="48"/>
      <c r="N12" s="37" t="str">
        <f>IF(H12&lt;&gt;0,IF(I12="No","No","Yes"),"Yes")</f>
        <v>Yes</v>
      </c>
    </row>
    <row r="13" spans="1:14" ht="30" customHeight="1" x14ac:dyDescent="0.25">
      <c r="A13" s="48"/>
      <c r="B13" s="2192" t="s">
        <v>1839</v>
      </c>
      <c r="C13" s="2192" t="s">
        <v>64</v>
      </c>
      <c r="D13" s="2192" t="s">
        <v>64</v>
      </c>
      <c r="E13" s="2192" t="s">
        <v>64</v>
      </c>
      <c r="F13" s="2192">
        <v>3</v>
      </c>
      <c r="G13" s="378">
        <v>1</v>
      </c>
      <c r="H13" s="378">
        <f>C160</f>
        <v>0</v>
      </c>
      <c r="I13" s="812" t="str">
        <f>C161</f>
        <v>No</v>
      </c>
      <c r="J13" s="48"/>
      <c r="K13" s="48"/>
      <c r="L13" s="48"/>
      <c r="M13" s="48"/>
      <c r="N13" s="37" t="str">
        <f>IF(H13&lt;&gt;0,IF(I13="No","No","Yes"),"Yes")</f>
        <v>Yes</v>
      </c>
    </row>
    <row r="14" spans="1:14" ht="21" customHeight="1" x14ac:dyDescent="0.25">
      <c r="A14" s="48"/>
      <c r="B14" s="2209" t="s">
        <v>29</v>
      </c>
      <c r="C14" s="2210"/>
      <c r="D14" s="2210"/>
      <c r="E14" s="2210"/>
      <c r="F14" s="2211"/>
      <c r="G14" s="612">
        <v>2</v>
      </c>
      <c r="H14" s="612">
        <f>MIN(2,H12+H13)</f>
        <v>0</v>
      </c>
      <c r="I14" s="612" t="str">
        <f>IF(COUNTIF(I12:I13,"No")=2,"No",IF(COUNTIF(N12:N13,"Yes")=2,"Yes","No"))</f>
        <v>No</v>
      </c>
      <c r="J14" s="48"/>
      <c r="K14" s="48"/>
      <c r="L14" s="48"/>
      <c r="M14" s="48"/>
    </row>
    <row r="15" spans="1:14" ht="18" customHeight="1" x14ac:dyDescent="0.25">
      <c r="A15" s="48"/>
      <c r="B15" s="49"/>
      <c r="C15" s="49"/>
      <c r="D15" s="49"/>
      <c r="E15" s="49"/>
      <c r="F15" s="48"/>
      <c r="G15" s="48"/>
      <c r="H15" s="48"/>
      <c r="I15" s="48"/>
      <c r="J15" s="48"/>
      <c r="K15" s="48"/>
      <c r="L15" s="48"/>
      <c r="M15" s="48"/>
    </row>
    <row r="16" spans="1:14" ht="18" customHeight="1" x14ac:dyDescent="0.25">
      <c r="A16" s="2092" t="s">
        <v>603</v>
      </c>
      <c r="B16" s="2092"/>
      <c r="C16" s="2092"/>
      <c r="D16" s="2092"/>
      <c r="E16" s="2092"/>
      <c r="F16" s="2092"/>
      <c r="G16" s="2092"/>
      <c r="H16" s="2092"/>
      <c r="I16" s="2092"/>
      <c r="J16" s="2092"/>
      <c r="K16" s="2092"/>
      <c r="L16" s="2092"/>
      <c r="M16" s="2092"/>
    </row>
    <row r="17" spans="1:13" x14ac:dyDescent="0.25">
      <c r="A17" s="48"/>
      <c r="B17" s="49"/>
      <c r="C17" s="49"/>
      <c r="D17" s="49"/>
      <c r="E17" s="49"/>
      <c r="F17" s="48"/>
      <c r="G17" s="48"/>
      <c r="H17" s="48"/>
      <c r="I17" s="48"/>
      <c r="J17" s="48"/>
      <c r="K17" s="48"/>
      <c r="L17" s="48"/>
      <c r="M17" s="48"/>
    </row>
    <row r="18" spans="1:13" ht="17.25" customHeight="1" x14ac:dyDescent="0.25">
      <c r="A18" s="2115" t="s">
        <v>117</v>
      </c>
      <c r="B18" s="2115"/>
      <c r="C18" s="2115"/>
      <c r="D18" s="49"/>
      <c r="E18" s="49"/>
      <c r="F18" s="49"/>
      <c r="G18" s="49"/>
      <c r="H18" s="49"/>
      <c r="I18" s="49"/>
      <c r="J18" s="49"/>
      <c r="K18" s="49"/>
      <c r="L18" s="49"/>
      <c r="M18" s="49"/>
    </row>
    <row r="19" spans="1:13" x14ac:dyDescent="0.25">
      <c r="A19" s="48"/>
      <c r="B19" s="48"/>
      <c r="C19" s="48"/>
      <c r="D19" s="48"/>
      <c r="E19" s="48"/>
      <c r="F19" s="48"/>
      <c r="G19" s="48"/>
      <c r="H19" s="48"/>
      <c r="I19" s="48"/>
      <c r="J19" s="48"/>
      <c r="K19" s="48"/>
      <c r="L19" s="48"/>
      <c r="M19" s="48"/>
    </row>
    <row r="20" spans="1:13" x14ac:dyDescent="0.25">
      <c r="A20" s="48"/>
      <c r="B20" s="669" t="s">
        <v>1152</v>
      </c>
      <c r="C20" s="48"/>
      <c r="D20" s="48"/>
      <c r="E20" s="48"/>
      <c r="F20" s="48"/>
      <c r="G20" s="48"/>
      <c r="H20" s="48"/>
      <c r="I20" s="48"/>
      <c r="J20" s="48"/>
      <c r="K20" s="48"/>
      <c r="L20" s="48"/>
      <c r="M20" s="48"/>
    </row>
    <row r="21" spans="1:13" x14ac:dyDescent="0.25">
      <c r="A21" s="48"/>
      <c r="B21" s="48"/>
      <c r="C21" s="48"/>
      <c r="D21" s="48"/>
      <c r="E21" s="48"/>
      <c r="F21" s="48"/>
      <c r="G21" s="48"/>
      <c r="H21" s="48"/>
      <c r="I21" s="48"/>
      <c r="J21" s="48"/>
      <c r="K21" s="48"/>
      <c r="L21" s="48"/>
      <c r="M21" s="48"/>
    </row>
    <row r="22" spans="1:13" x14ac:dyDescent="0.25">
      <c r="A22" s="48"/>
      <c r="B22" s="1299" t="s">
        <v>503</v>
      </c>
      <c r="C22" s="511"/>
      <c r="D22" s="511"/>
      <c r="E22" s="511"/>
      <c r="F22" s="511"/>
      <c r="G22" s="511"/>
      <c r="H22" s="511"/>
      <c r="I22" s="511"/>
      <c r="J22" s="512"/>
      <c r="K22" s="48"/>
      <c r="L22" s="48"/>
      <c r="M22" s="48"/>
    </row>
    <row r="23" spans="1:13" x14ac:dyDescent="0.25">
      <c r="A23" s="48"/>
      <c r="B23" s="1770" t="s">
        <v>504</v>
      </c>
      <c r="C23" s="1771"/>
      <c r="D23" s="1771"/>
      <c r="E23" s="1771"/>
      <c r="F23" s="1771"/>
      <c r="G23" s="1771"/>
      <c r="H23" s="1771"/>
      <c r="I23" s="1771"/>
      <c r="J23" s="1772"/>
      <c r="K23" s="48"/>
      <c r="L23" s="48"/>
      <c r="M23" s="48"/>
    </row>
    <row r="24" spans="1:13" x14ac:dyDescent="0.25">
      <c r="A24" s="48"/>
      <c r="B24" s="1770" t="s">
        <v>505</v>
      </c>
      <c r="C24" s="1771"/>
      <c r="D24" s="1771"/>
      <c r="E24" s="1771"/>
      <c r="F24" s="1771"/>
      <c r="G24" s="1771"/>
      <c r="H24" s="1771"/>
      <c r="I24" s="1771"/>
      <c r="J24" s="1772"/>
      <c r="K24" s="48"/>
      <c r="L24" s="48"/>
      <c r="M24" s="48"/>
    </row>
    <row r="25" spans="1:13" x14ac:dyDescent="0.25">
      <c r="A25" s="48"/>
      <c r="B25" s="1773" t="s">
        <v>506</v>
      </c>
      <c r="C25" s="1774"/>
      <c r="D25" s="1774"/>
      <c r="E25" s="1774"/>
      <c r="F25" s="1774"/>
      <c r="G25" s="1774"/>
      <c r="H25" s="1774"/>
      <c r="I25" s="1774"/>
      <c r="J25" s="1775"/>
      <c r="K25" s="48"/>
      <c r="L25" s="48"/>
      <c r="M25" s="48"/>
    </row>
    <row r="26" spans="1:13" x14ac:dyDescent="0.25">
      <c r="A26" s="48"/>
      <c r="B26" s="48"/>
      <c r="C26" s="48"/>
      <c r="D26" s="48"/>
      <c r="E26" s="48"/>
      <c r="F26" s="48"/>
      <c r="G26" s="48"/>
      <c r="H26" s="48"/>
      <c r="I26" s="48"/>
      <c r="J26" s="48"/>
      <c r="K26" s="48"/>
      <c r="L26" s="48"/>
      <c r="M26" s="48"/>
    </row>
    <row r="27" spans="1:13" ht="15.75" customHeight="1" x14ac:dyDescent="0.25">
      <c r="A27" s="48"/>
      <c r="B27" s="1299" t="s">
        <v>507</v>
      </c>
      <c r="C27" s="511"/>
      <c r="D27" s="511"/>
      <c r="E27" s="511"/>
      <c r="F27" s="511"/>
      <c r="G27" s="511"/>
      <c r="H27" s="511"/>
      <c r="I27" s="511"/>
      <c r="J27" s="512"/>
      <c r="K27" s="48"/>
      <c r="L27" s="48"/>
      <c r="M27" s="48"/>
    </row>
    <row r="28" spans="1:13" ht="15.75" customHeight="1" x14ac:dyDescent="0.25">
      <c r="A28" s="48"/>
      <c r="B28" s="1770" t="s">
        <v>513</v>
      </c>
      <c r="C28" s="1771"/>
      <c r="D28" s="1771"/>
      <c r="E28" s="1771"/>
      <c r="F28" s="1771"/>
      <c r="G28" s="1771"/>
      <c r="H28" s="1771"/>
      <c r="I28" s="1771"/>
      <c r="J28" s="1772"/>
      <c r="K28" s="48"/>
      <c r="L28" s="48"/>
      <c r="M28" s="48"/>
    </row>
    <row r="29" spans="1:13" ht="15.75" customHeight="1" x14ac:dyDescent="0.25">
      <c r="A29" s="48"/>
      <c r="B29" s="1773" t="s">
        <v>512</v>
      </c>
      <c r="C29" s="1774"/>
      <c r="D29" s="1774"/>
      <c r="E29" s="1774"/>
      <c r="F29" s="1774"/>
      <c r="G29" s="1774"/>
      <c r="H29" s="1774"/>
      <c r="I29" s="1774"/>
      <c r="J29" s="1775"/>
      <c r="K29" s="48"/>
      <c r="L29" s="48"/>
      <c r="M29" s="48"/>
    </row>
    <row r="30" spans="1:13" ht="16.5" customHeight="1" x14ac:dyDescent="0.25">
      <c r="A30" s="48"/>
      <c r="B30" s="48"/>
      <c r="C30" s="48"/>
      <c r="D30" s="48"/>
      <c r="E30" s="48"/>
      <c r="F30" s="48"/>
      <c r="G30" s="48"/>
      <c r="H30" s="48"/>
      <c r="I30" s="48"/>
      <c r="J30" s="48"/>
      <c r="K30" s="48"/>
      <c r="L30" s="48"/>
      <c r="M30" s="48"/>
    </row>
    <row r="31" spans="1:13" ht="15.75" customHeight="1" x14ac:dyDescent="0.25">
      <c r="A31" s="48"/>
      <c r="B31" s="1299" t="s">
        <v>1814</v>
      </c>
      <c r="C31" s="511"/>
      <c r="D31" s="511"/>
      <c r="E31" s="511"/>
      <c r="F31" s="511"/>
      <c r="G31" s="511"/>
      <c r="H31" s="511"/>
      <c r="I31" s="511"/>
      <c r="J31" s="512"/>
      <c r="K31" s="48"/>
      <c r="L31" s="48"/>
      <c r="M31" s="48"/>
    </row>
    <row r="32" spans="1:13" ht="15.75" customHeight="1" x14ac:dyDescent="0.25">
      <c r="A32" s="48"/>
      <c r="B32" s="1770" t="s">
        <v>1838</v>
      </c>
      <c r="C32" s="1771"/>
      <c r="D32" s="1771"/>
      <c r="E32" s="1771"/>
      <c r="F32" s="1771"/>
      <c r="G32" s="1771"/>
      <c r="H32" s="1771"/>
      <c r="I32" s="1771"/>
      <c r="J32" s="1772"/>
      <c r="K32" s="48"/>
      <c r="L32" s="48"/>
      <c r="M32" s="48"/>
    </row>
    <row r="33" spans="1:13" ht="15.75" customHeight="1" x14ac:dyDescent="0.25">
      <c r="A33" s="48"/>
      <c r="B33" s="1773" t="s">
        <v>1837</v>
      </c>
      <c r="C33" s="1774"/>
      <c r="D33" s="1774"/>
      <c r="E33" s="1774"/>
      <c r="F33" s="1774"/>
      <c r="G33" s="1774"/>
      <c r="H33" s="1774"/>
      <c r="I33" s="1774"/>
      <c r="J33" s="1775"/>
      <c r="K33" s="48"/>
      <c r="L33" s="48"/>
      <c r="M33" s="48"/>
    </row>
    <row r="34" spans="1:13" ht="16.5" customHeight="1" x14ac:dyDescent="0.25">
      <c r="A34" s="48"/>
      <c r="B34" s="48"/>
      <c r="C34" s="48"/>
      <c r="D34" s="48"/>
      <c r="E34" s="48"/>
      <c r="F34" s="48"/>
      <c r="G34" s="48"/>
      <c r="H34" s="48"/>
      <c r="I34" s="48"/>
      <c r="J34" s="48"/>
      <c r="K34" s="48"/>
      <c r="L34" s="48"/>
      <c r="M34" s="48"/>
    </row>
    <row r="35" spans="1:13" ht="17.25" customHeight="1" x14ac:dyDescent="0.25">
      <c r="A35" s="2115" t="s">
        <v>9</v>
      </c>
      <c r="B35" s="2115"/>
      <c r="C35" s="2115"/>
      <c r="D35" s="49"/>
      <c r="E35" s="49"/>
      <c r="F35" s="49"/>
      <c r="G35" s="49"/>
      <c r="H35" s="49"/>
      <c r="I35" s="49"/>
      <c r="J35" s="49"/>
      <c r="K35" s="49"/>
      <c r="L35" s="49"/>
      <c r="M35" s="49"/>
    </row>
    <row r="36" spans="1:13" x14ac:dyDescent="0.25">
      <c r="A36" s="49"/>
      <c r="B36" s="671"/>
      <c r="C36" s="48"/>
      <c r="D36" s="48"/>
      <c r="E36" s="48"/>
      <c r="F36" s="48"/>
      <c r="G36" s="48"/>
      <c r="H36" s="48"/>
      <c r="I36" s="48"/>
      <c r="J36" s="48"/>
      <c r="K36" s="48"/>
      <c r="L36" s="48"/>
      <c r="M36" s="48"/>
    </row>
    <row r="37" spans="1:13" x14ac:dyDescent="0.25">
      <c r="A37" s="49"/>
      <c r="B37" s="671" t="s">
        <v>1042</v>
      </c>
      <c r="C37" s="48"/>
      <c r="D37" s="48"/>
      <c r="E37" s="48"/>
      <c r="F37" s="48"/>
      <c r="G37" s="48"/>
      <c r="H37" s="48"/>
      <c r="I37" s="48"/>
      <c r="J37" s="48"/>
      <c r="K37" s="48"/>
      <c r="L37" s="48"/>
      <c r="M37" s="48"/>
    </row>
    <row r="38" spans="1:13" ht="18.75" customHeight="1" x14ac:dyDescent="0.25">
      <c r="A38" s="49"/>
      <c r="B38" s="671"/>
      <c r="C38" s="48"/>
      <c r="D38" s="48"/>
      <c r="E38" s="48"/>
      <c r="F38" s="48"/>
      <c r="G38" s="48"/>
      <c r="H38" s="48"/>
      <c r="I38" s="48"/>
      <c r="J38" s="48"/>
      <c r="K38" s="48"/>
      <c r="L38" s="48"/>
      <c r="M38" s="48"/>
    </row>
    <row r="39" spans="1:13" x14ac:dyDescent="0.25">
      <c r="A39" s="49"/>
      <c r="B39" s="614" t="s">
        <v>1815</v>
      </c>
      <c r="C39" s="48"/>
      <c r="D39" s="48"/>
      <c r="E39" s="48"/>
      <c r="F39" s="48"/>
      <c r="G39" s="48"/>
      <c r="H39" s="48"/>
      <c r="I39" s="48"/>
      <c r="J39" s="48"/>
      <c r="K39" s="48"/>
      <c r="L39" s="48"/>
      <c r="M39" s="48"/>
    </row>
    <row r="40" spans="1:13" ht="13.5" customHeight="1" x14ac:dyDescent="0.25">
      <c r="A40" s="49"/>
      <c r="B40" s="671"/>
      <c r="C40" s="48"/>
      <c r="D40" s="48"/>
      <c r="E40" s="48"/>
      <c r="F40" s="48"/>
      <c r="G40" s="48"/>
      <c r="H40" s="48"/>
      <c r="I40" s="48"/>
      <c r="J40" s="48"/>
      <c r="K40" s="48"/>
      <c r="L40" s="48"/>
      <c r="M40" s="48"/>
    </row>
    <row r="41" spans="1:13" ht="15" customHeight="1" x14ac:dyDescent="0.25">
      <c r="A41" s="49"/>
      <c r="B41" s="2199" t="s">
        <v>502</v>
      </c>
      <c r="C41" s="2193" t="s">
        <v>1332</v>
      </c>
      <c r="D41" s="2193" t="s">
        <v>1333</v>
      </c>
      <c r="E41" s="2193" t="s">
        <v>1334</v>
      </c>
      <c r="F41" s="48"/>
      <c r="G41" s="49"/>
      <c r="H41" s="48"/>
      <c r="I41" s="48"/>
      <c r="J41" s="48"/>
      <c r="K41" s="48"/>
      <c r="L41" s="48"/>
      <c r="M41" s="48"/>
    </row>
    <row r="42" spans="1:13" x14ac:dyDescent="0.25">
      <c r="A42" s="49"/>
      <c r="B42" s="2200"/>
      <c r="C42" s="2195"/>
      <c r="D42" s="2195"/>
      <c r="E42" s="2195"/>
      <c r="F42" s="48"/>
      <c r="G42" s="49"/>
      <c r="H42" s="48"/>
      <c r="I42" s="48"/>
      <c r="J42" s="48"/>
      <c r="K42" s="48"/>
      <c r="L42" s="48"/>
      <c r="M42" s="48"/>
    </row>
    <row r="43" spans="1:13" ht="16.5" customHeight="1" x14ac:dyDescent="0.25">
      <c r="A43" s="49"/>
      <c r="B43" s="245"/>
      <c r="C43" s="245"/>
      <c r="D43" s="245"/>
      <c r="E43" s="825">
        <f>IFERROR(IF(D43&gt;=0.75*C43,C43,D43),"")</f>
        <v>0</v>
      </c>
      <c r="F43" s="48"/>
      <c r="G43" s="49"/>
      <c r="H43" s="48"/>
      <c r="I43" s="48"/>
      <c r="J43" s="48"/>
      <c r="K43" s="48"/>
      <c r="L43" s="48"/>
      <c r="M43" s="48"/>
    </row>
    <row r="44" spans="1:13" ht="16.5" customHeight="1" x14ac:dyDescent="0.25">
      <c r="A44" s="49"/>
      <c r="B44" s="985"/>
      <c r="C44" s="985"/>
      <c r="D44" s="985"/>
      <c r="E44" s="825">
        <f t="shared" ref="E44:E62" si="0">IFERROR(IF(D44&gt;=0.75*C44,C44,D44),"")</f>
        <v>0</v>
      </c>
      <c r="F44" s="48"/>
      <c r="G44" s="49"/>
      <c r="H44" s="48"/>
      <c r="I44" s="48"/>
      <c r="J44" s="48"/>
      <c r="K44" s="48"/>
      <c r="L44" s="48"/>
      <c r="M44" s="48"/>
    </row>
    <row r="45" spans="1:13" ht="16.5" customHeight="1" x14ac:dyDescent="0.25">
      <c r="A45" s="49"/>
      <c r="B45" s="985"/>
      <c r="C45" s="985"/>
      <c r="D45" s="985"/>
      <c r="E45" s="825">
        <f t="shared" si="0"/>
        <v>0</v>
      </c>
      <c r="F45" s="48"/>
      <c r="G45" s="49"/>
      <c r="H45" s="48"/>
      <c r="I45" s="48"/>
      <c r="J45" s="48"/>
      <c r="K45" s="48"/>
      <c r="L45" s="48"/>
      <c r="M45" s="48"/>
    </row>
    <row r="46" spans="1:13" ht="16.5" customHeight="1" x14ac:dyDescent="0.25">
      <c r="A46" s="49"/>
      <c r="B46" s="985"/>
      <c r="C46" s="985"/>
      <c r="D46" s="985"/>
      <c r="E46" s="825">
        <f t="shared" ref="E46:E55" si="1">IFERROR(IF(D46&gt;=0.75*C46,C46,D46),"")</f>
        <v>0</v>
      </c>
      <c r="F46" s="48"/>
      <c r="G46" s="49"/>
      <c r="H46" s="48"/>
      <c r="I46" s="48"/>
      <c r="J46" s="48"/>
      <c r="K46" s="48"/>
      <c r="L46" s="48"/>
      <c r="M46" s="48"/>
    </row>
    <row r="47" spans="1:13" ht="16.5" customHeight="1" x14ac:dyDescent="0.25">
      <c r="A47" s="49"/>
      <c r="B47" s="985"/>
      <c r="C47" s="985"/>
      <c r="D47" s="985"/>
      <c r="E47" s="825">
        <f t="shared" si="1"/>
        <v>0</v>
      </c>
      <c r="F47" s="48"/>
      <c r="G47" s="49"/>
      <c r="H47" s="48"/>
      <c r="I47" s="48"/>
      <c r="J47" s="48"/>
      <c r="K47" s="48"/>
      <c r="L47" s="48"/>
      <c r="M47" s="48"/>
    </row>
    <row r="48" spans="1:13" ht="16.5" customHeight="1" x14ac:dyDescent="0.25">
      <c r="A48" s="49"/>
      <c r="B48" s="985"/>
      <c r="C48" s="985"/>
      <c r="D48" s="985"/>
      <c r="E48" s="825">
        <f t="shared" si="1"/>
        <v>0</v>
      </c>
      <c r="F48" s="48"/>
      <c r="G48" s="49"/>
      <c r="H48" s="48"/>
      <c r="I48" s="48"/>
      <c r="J48" s="48"/>
      <c r="K48" s="48"/>
      <c r="L48" s="48"/>
      <c r="M48" s="48"/>
    </row>
    <row r="49" spans="1:13" ht="16.5" customHeight="1" x14ac:dyDescent="0.25">
      <c r="A49" s="49"/>
      <c r="B49" s="985"/>
      <c r="C49" s="985"/>
      <c r="D49" s="985"/>
      <c r="E49" s="825">
        <f t="shared" ref="E49:E54" si="2">IFERROR(IF(D49&gt;=0.75*C49,C49,D49),"")</f>
        <v>0</v>
      </c>
      <c r="F49" s="48"/>
      <c r="G49" s="49"/>
      <c r="H49" s="48"/>
      <c r="I49" s="48"/>
      <c r="J49" s="48"/>
      <c r="K49" s="48"/>
      <c r="L49" s="48"/>
      <c r="M49" s="48"/>
    </row>
    <row r="50" spans="1:13" ht="16.5" customHeight="1" x14ac:dyDescent="0.25">
      <c r="A50" s="49"/>
      <c r="B50" s="985"/>
      <c r="C50" s="985"/>
      <c r="D50" s="985"/>
      <c r="E50" s="825">
        <f t="shared" si="2"/>
        <v>0</v>
      </c>
      <c r="F50" s="48"/>
      <c r="G50" s="49"/>
      <c r="H50" s="48"/>
      <c r="I50" s="48"/>
      <c r="J50" s="48"/>
      <c r="K50" s="48"/>
      <c r="L50" s="48"/>
      <c r="M50" s="48"/>
    </row>
    <row r="51" spans="1:13" ht="16.5" customHeight="1" x14ac:dyDescent="0.25">
      <c r="A51" s="49"/>
      <c r="B51" s="985"/>
      <c r="C51" s="985"/>
      <c r="D51" s="985"/>
      <c r="E51" s="825">
        <f t="shared" si="2"/>
        <v>0</v>
      </c>
      <c r="F51" s="48"/>
      <c r="G51" s="49"/>
      <c r="H51" s="48"/>
      <c r="I51" s="48"/>
      <c r="J51" s="48"/>
      <c r="K51" s="48"/>
      <c r="L51" s="48"/>
      <c r="M51" s="48"/>
    </row>
    <row r="52" spans="1:13" ht="16.5" customHeight="1" x14ac:dyDescent="0.25">
      <c r="A52" s="49"/>
      <c r="B52" s="985"/>
      <c r="C52" s="985"/>
      <c r="D52" s="985"/>
      <c r="E52" s="825">
        <f t="shared" si="2"/>
        <v>0</v>
      </c>
      <c r="F52" s="48"/>
      <c r="G52" s="49"/>
      <c r="H52" s="48"/>
      <c r="I52" s="48"/>
      <c r="J52" s="48"/>
      <c r="K52" s="48"/>
      <c r="L52" s="48"/>
      <c r="M52" s="48"/>
    </row>
    <row r="53" spans="1:13" ht="16.5" customHeight="1" x14ac:dyDescent="0.25">
      <c r="A53" s="49"/>
      <c r="B53" s="985"/>
      <c r="C53" s="985"/>
      <c r="D53" s="985"/>
      <c r="E53" s="825">
        <f t="shared" si="2"/>
        <v>0</v>
      </c>
      <c r="F53" s="48"/>
      <c r="G53" s="49"/>
      <c r="H53" s="48"/>
      <c r="I53" s="48"/>
      <c r="J53" s="48"/>
      <c r="K53" s="48"/>
      <c r="L53" s="48"/>
      <c r="M53" s="48"/>
    </row>
    <row r="54" spans="1:13" ht="16.5" customHeight="1" x14ac:dyDescent="0.25">
      <c r="A54" s="49"/>
      <c r="B54" s="985"/>
      <c r="C54" s="985"/>
      <c r="D54" s="985"/>
      <c r="E54" s="825">
        <f t="shared" si="2"/>
        <v>0</v>
      </c>
      <c r="F54" s="48"/>
      <c r="G54" s="49"/>
      <c r="H54" s="48"/>
      <c r="I54" s="48"/>
      <c r="J54" s="48"/>
      <c r="K54" s="48"/>
      <c r="L54" s="48"/>
      <c r="M54" s="48"/>
    </row>
    <row r="55" spans="1:13" ht="16.5" customHeight="1" x14ac:dyDescent="0.25">
      <c r="A55" s="49"/>
      <c r="B55" s="985"/>
      <c r="C55" s="985"/>
      <c r="D55" s="985"/>
      <c r="E55" s="825">
        <f t="shared" si="1"/>
        <v>0</v>
      </c>
      <c r="F55" s="48"/>
      <c r="G55" s="49"/>
      <c r="H55" s="48"/>
      <c r="I55" s="48"/>
      <c r="J55" s="48"/>
      <c r="K55" s="48"/>
      <c r="L55" s="48"/>
      <c r="M55" s="48"/>
    </row>
    <row r="56" spans="1:13" ht="16.5" customHeight="1" x14ac:dyDescent="0.25">
      <c r="A56" s="49"/>
      <c r="B56" s="985"/>
      <c r="C56" s="985"/>
      <c r="D56" s="985"/>
      <c r="E56" s="825">
        <f t="shared" si="0"/>
        <v>0</v>
      </c>
      <c r="F56" s="48"/>
      <c r="G56" s="49"/>
      <c r="H56" s="48"/>
      <c r="I56" s="48"/>
      <c r="J56" s="48"/>
      <c r="K56" s="48"/>
      <c r="L56" s="48"/>
      <c r="M56" s="48"/>
    </row>
    <row r="57" spans="1:13" ht="16.5" customHeight="1" x14ac:dyDescent="0.25">
      <c r="A57" s="49"/>
      <c r="B57" s="985"/>
      <c r="C57" s="985"/>
      <c r="D57" s="985"/>
      <c r="E57" s="825">
        <f t="shared" si="0"/>
        <v>0</v>
      </c>
      <c r="F57" s="48"/>
      <c r="G57" s="49"/>
      <c r="H57" s="48"/>
      <c r="I57" s="48"/>
      <c r="J57" s="48"/>
      <c r="K57" s="48"/>
      <c r="L57" s="48"/>
      <c r="M57" s="48"/>
    </row>
    <row r="58" spans="1:13" ht="16.5" customHeight="1" x14ac:dyDescent="0.25">
      <c r="A58" s="49"/>
      <c r="B58" s="985"/>
      <c r="C58" s="985"/>
      <c r="D58" s="985"/>
      <c r="E58" s="825">
        <f t="shared" si="0"/>
        <v>0</v>
      </c>
      <c r="F58" s="48"/>
      <c r="G58" s="49"/>
      <c r="H58" s="48"/>
      <c r="I58" s="48"/>
      <c r="J58" s="48"/>
      <c r="K58" s="48"/>
      <c r="L58" s="48"/>
      <c r="M58" s="48"/>
    </row>
    <row r="59" spans="1:13" ht="16.5" customHeight="1" x14ac:dyDescent="0.25">
      <c r="A59" s="49"/>
      <c r="B59" s="985"/>
      <c r="C59" s="985"/>
      <c r="D59" s="985"/>
      <c r="E59" s="825">
        <f t="shared" si="0"/>
        <v>0</v>
      </c>
      <c r="F59" s="48"/>
      <c r="G59" s="49"/>
      <c r="H59" s="48"/>
      <c r="I59" s="48"/>
      <c r="J59" s="48"/>
      <c r="K59" s="48"/>
      <c r="L59" s="48"/>
      <c r="M59" s="48"/>
    </row>
    <row r="60" spans="1:13" ht="16.5" customHeight="1" x14ac:dyDescent="0.25">
      <c r="A60" s="49"/>
      <c r="B60" s="985"/>
      <c r="C60" s="985"/>
      <c r="D60" s="985"/>
      <c r="E60" s="825">
        <f t="shared" si="0"/>
        <v>0</v>
      </c>
      <c r="F60" s="48"/>
      <c r="G60" s="49"/>
      <c r="H60" s="48"/>
      <c r="I60" s="48"/>
      <c r="J60" s="48"/>
      <c r="K60" s="48"/>
      <c r="L60" s="48"/>
      <c r="M60" s="48"/>
    </row>
    <row r="61" spans="1:13" ht="16.5" customHeight="1" x14ac:dyDescent="0.25">
      <c r="A61" s="49"/>
      <c r="B61" s="985"/>
      <c r="C61" s="985"/>
      <c r="D61" s="985"/>
      <c r="E61" s="825">
        <f t="shared" si="0"/>
        <v>0</v>
      </c>
      <c r="F61" s="48"/>
      <c r="G61" s="49"/>
      <c r="H61" s="48"/>
      <c r="I61" s="48"/>
      <c r="J61" s="48"/>
      <c r="K61" s="48"/>
      <c r="L61" s="48"/>
      <c r="M61" s="48"/>
    </row>
    <row r="62" spans="1:13" ht="16.5" customHeight="1" x14ac:dyDescent="0.25">
      <c r="A62" s="49"/>
      <c r="B62" s="985"/>
      <c r="C62" s="985"/>
      <c r="D62" s="985"/>
      <c r="E62" s="825">
        <f t="shared" si="0"/>
        <v>0</v>
      </c>
      <c r="F62" s="48"/>
      <c r="G62" s="49"/>
      <c r="H62" s="48"/>
      <c r="I62" s="48"/>
      <c r="J62" s="48"/>
      <c r="K62" s="48"/>
      <c r="L62" s="48"/>
      <c r="M62" s="48"/>
    </row>
    <row r="63" spans="1:13" ht="16.5" customHeight="1" x14ac:dyDescent="0.25">
      <c r="A63" s="49"/>
      <c r="B63" s="49"/>
      <c r="C63" s="49"/>
      <c r="D63" s="49"/>
      <c r="E63" s="49"/>
      <c r="F63" s="49"/>
      <c r="G63" s="49"/>
      <c r="H63" s="49"/>
      <c r="I63" s="49"/>
      <c r="J63" s="49"/>
      <c r="K63" s="49"/>
      <c r="L63" s="49"/>
      <c r="M63" s="49"/>
    </row>
    <row r="64" spans="1:13" ht="19.5" customHeight="1" x14ac:dyDescent="0.25">
      <c r="A64" s="49"/>
      <c r="B64" s="2128" t="s">
        <v>1335</v>
      </c>
      <c r="C64" s="2130"/>
      <c r="D64" s="174">
        <f>SUM(E43:E62)</f>
        <v>0</v>
      </c>
      <c r="E64" s="49"/>
      <c r="F64" s="49"/>
      <c r="G64" s="49"/>
      <c r="H64" s="49"/>
      <c r="I64" s="49"/>
      <c r="J64" s="49"/>
      <c r="K64" s="49"/>
      <c r="L64" s="49"/>
      <c r="M64" s="49"/>
    </row>
    <row r="65" spans="1:16" ht="19.5" customHeight="1" x14ac:dyDescent="0.25">
      <c r="A65" s="49"/>
      <c r="B65" s="2128" t="s">
        <v>196</v>
      </c>
      <c r="C65" s="2130"/>
      <c r="D65" s="70">
        <f>IFERROR(D64/SUM(C43:C62),0)</f>
        <v>0</v>
      </c>
      <c r="E65" s="49"/>
      <c r="F65" s="49"/>
      <c r="G65" s="49"/>
      <c r="H65" s="49"/>
      <c r="I65" s="49"/>
      <c r="J65" s="49"/>
      <c r="K65" s="49"/>
      <c r="L65" s="49"/>
      <c r="M65" s="49"/>
    </row>
    <row r="66" spans="1:16" ht="19.5" customHeight="1" x14ac:dyDescent="0.25">
      <c r="A66" s="49"/>
      <c r="B66" s="49"/>
      <c r="C66" s="49"/>
      <c r="D66" s="49"/>
      <c r="E66" s="49"/>
      <c r="F66" s="49"/>
      <c r="G66" s="49"/>
      <c r="H66" s="49"/>
      <c r="I66" s="49"/>
      <c r="J66" s="49"/>
      <c r="K66" s="49"/>
      <c r="L66" s="49"/>
      <c r="M66" s="49"/>
    </row>
    <row r="67" spans="1:16" ht="17.25" customHeight="1" x14ac:dyDescent="0.25">
      <c r="A67" s="2115" t="s">
        <v>97</v>
      </c>
      <c r="B67" s="2115"/>
      <c r="C67" s="2115"/>
      <c r="D67" s="49"/>
      <c r="E67" s="49"/>
      <c r="F67" s="49"/>
      <c r="G67" s="49"/>
      <c r="H67" s="49"/>
      <c r="I67" s="49"/>
      <c r="J67" s="49"/>
      <c r="K67" s="49"/>
      <c r="L67" s="49"/>
      <c r="M67" s="49"/>
    </row>
    <row r="68" spans="1:16" x14ac:dyDescent="0.25">
      <c r="A68" s="49"/>
      <c r="B68" s="49"/>
      <c r="C68" s="49"/>
      <c r="D68" s="49"/>
      <c r="E68" s="49"/>
      <c r="F68" s="49"/>
      <c r="G68" s="49"/>
      <c r="H68" s="49"/>
      <c r="I68" s="49"/>
      <c r="J68" s="49"/>
      <c r="K68" s="49"/>
      <c r="L68" s="49"/>
      <c r="M68" s="49"/>
    </row>
    <row r="69" spans="1:16" ht="21" customHeight="1" x14ac:dyDescent="0.25">
      <c r="A69" s="49"/>
      <c r="B69" s="2093" t="s">
        <v>98</v>
      </c>
      <c r="C69" s="2094"/>
      <c r="D69" s="2094"/>
      <c r="E69" s="2094"/>
      <c r="F69" s="2094"/>
      <c r="G69" s="256" t="s">
        <v>1297</v>
      </c>
      <c r="H69" s="2095" t="s">
        <v>1298</v>
      </c>
      <c r="I69" s="2136"/>
      <c r="J69" s="49"/>
      <c r="K69" s="49"/>
      <c r="L69" s="49"/>
      <c r="M69" s="49"/>
    </row>
    <row r="70" spans="1:16" ht="25.5" customHeight="1" x14ac:dyDescent="0.25">
      <c r="A70" s="49"/>
      <c r="B70" s="1644" t="str">
        <f>Submittals!H108</f>
        <v>Select the Submission Stage in Project Information</v>
      </c>
      <c r="C70" s="1645"/>
      <c r="D70" s="1645"/>
      <c r="E70" s="1645"/>
      <c r="F70" s="1645"/>
      <c r="G70" s="986" t="s">
        <v>62</v>
      </c>
      <c r="H70" s="1625"/>
      <c r="I70" s="1626"/>
      <c r="J70" s="49"/>
      <c r="K70" s="49"/>
      <c r="L70" s="49"/>
      <c r="M70" s="49"/>
      <c r="N70" s="37" t="str">
        <f>IF(OR(B70="/",B70="No evidence required at this submission stage"),"Yes",IF(G70="Submitted","Yes","No"))</f>
        <v>No</v>
      </c>
    </row>
    <row r="71" spans="1:16" ht="30" customHeight="1" x14ac:dyDescent="0.25">
      <c r="A71" s="49"/>
      <c r="B71" s="1644" t="str">
        <f>Submittals!H109</f>
        <v>Select the Submission Stage in Project Information</v>
      </c>
      <c r="C71" s="1645"/>
      <c r="D71" s="1645"/>
      <c r="E71" s="1645"/>
      <c r="F71" s="1645"/>
      <c r="G71" s="1265" t="s">
        <v>62</v>
      </c>
      <c r="H71" s="1625"/>
      <c r="I71" s="1626"/>
      <c r="J71" s="49"/>
      <c r="K71" s="49"/>
      <c r="L71" s="49"/>
      <c r="M71" s="49"/>
      <c r="N71" s="37" t="str">
        <f>IF(OR(B71="/",B71="No evidence required at this submission stage"),"Yes",IF(OR(G71="Already approved at PC",G71="Submitted"),"Yes","No"))</f>
        <v>No</v>
      </c>
    </row>
    <row r="72" spans="1:16" ht="40.5" customHeight="1" x14ac:dyDescent="0.25">
      <c r="A72" s="49"/>
      <c r="B72" s="1644" t="str">
        <f>Submittals!H110</f>
        <v>Select the Submission Stage in Project Information</v>
      </c>
      <c r="C72" s="1645"/>
      <c r="D72" s="1645"/>
      <c r="E72" s="1645"/>
      <c r="F72" s="1645"/>
      <c r="G72" s="1265" t="s">
        <v>62</v>
      </c>
      <c r="H72" s="1625"/>
      <c r="I72" s="1626"/>
      <c r="J72" s="49"/>
      <c r="K72" s="49"/>
      <c r="L72" s="49"/>
      <c r="M72" s="49"/>
      <c r="N72" s="37" t="str">
        <f>IF(OR(B72="/",B72="No evidence required at this submission stage"),"Yes",IF(OR(G72="Already approved at PC",G72="Submitted"),"Yes","No"))</f>
        <v>No</v>
      </c>
    </row>
    <row r="73" spans="1:16" s="379" customFormat="1" ht="19.5" customHeight="1" x14ac:dyDescent="0.25">
      <c r="A73" s="49"/>
      <c r="B73" s="49"/>
      <c r="C73" s="49"/>
      <c r="D73" s="49"/>
      <c r="E73" s="49"/>
      <c r="F73" s="49"/>
      <c r="G73" s="49"/>
      <c r="H73" s="49"/>
      <c r="I73" s="49"/>
      <c r="J73" s="49"/>
      <c r="K73" s="49"/>
      <c r="L73" s="49"/>
      <c r="M73" s="49"/>
      <c r="N73" s="49"/>
      <c r="O73" s="49"/>
    </row>
    <row r="74" spans="1:16" ht="17.25" customHeight="1" x14ac:dyDescent="0.25">
      <c r="A74" s="2115" t="s">
        <v>8</v>
      </c>
      <c r="B74" s="2115"/>
      <c r="C74" s="2115"/>
      <c r="D74" s="49"/>
      <c r="E74" s="49"/>
      <c r="F74" s="49"/>
      <c r="G74" s="49"/>
      <c r="H74" s="49"/>
      <c r="I74" s="49"/>
      <c r="J74" s="49"/>
      <c r="K74" s="49"/>
      <c r="L74" s="49"/>
      <c r="M74" s="49"/>
      <c r="N74"/>
      <c r="O74"/>
      <c r="P74"/>
    </row>
    <row r="75" spans="1:16" x14ac:dyDescent="0.25">
      <c r="A75" s="49"/>
      <c r="B75" s="49"/>
      <c r="C75" s="49"/>
      <c r="D75" s="49"/>
      <c r="E75" s="49"/>
      <c r="F75" s="49"/>
      <c r="G75" s="49"/>
      <c r="H75" s="49"/>
      <c r="I75" s="49"/>
      <c r="J75" s="49"/>
      <c r="K75" s="49"/>
      <c r="L75" s="49"/>
      <c r="M75" s="49"/>
      <c r="N75"/>
      <c r="O75"/>
      <c r="P75"/>
    </row>
    <row r="76" spans="1:16" ht="18" customHeight="1" x14ac:dyDescent="0.25">
      <c r="A76" s="49"/>
      <c r="B76" s="145" t="s">
        <v>19</v>
      </c>
      <c r="C76" s="8">
        <f>IF(D65&gt;=0.8,2,IF(D65&gt;=0.6,1,0))</f>
        <v>0</v>
      </c>
      <c r="D76" s="49"/>
      <c r="E76" s="49"/>
      <c r="F76" s="49"/>
      <c r="G76" s="49"/>
      <c r="H76" s="49"/>
      <c r="I76" s="49"/>
      <c r="J76" s="49"/>
      <c r="K76" s="49"/>
      <c r="L76" s="49"/>
      <c r="M76" s="49"/>
      <c r="N76"/>
      <c r="O76"/>
      <c r="P76"/>
    </row>
    <row r="77" spans="1:16" ht="18" customHeight="1" x14ac:dyDescent="0.25">
      <c r="A77" s="49"/>
      <c r="B77" s="146" t="s">
        <v>151</v>
      </c>
      <c r="C77" s="7" t="str">
        <f>IF(AND(COUNTIF(N70:N72,"Yes")=3,C76&gt;0),"Yes","No")</f>
        <v>No</v>
      </c>
      <c r="D77" s="49"/>
      <c r="E77" s="49"/>
      <c r="F77" s="49"/>
      <c r="G77" s="49"/>
      <c r="H77" s="49"/>
      <c r="I77" s="49"/>
      <c r="J77" s="49"/>
      <c r="K77" s="49"/>
      <c r="L77" s="49"/>
      <c r="M77" s="49"/>
      <c r="N77"/>
      <c r="O77"/>
      <c r="P77"/>
    </row>
    <row r="78" spans="1:16" ht="21" customHeight="1" x14ac:dyDescent="0.25">
      <c r="A78" s="49"/>
      <c r="B78" s="49"/>
      <c r="C78" s="49"/>
      <c r="D78" s="49"/>
      <c r="E78" s="49"/>
      <c r="F78" s="49"/>
      <c r="G78" s="49"/>
      <c r="H78" s="49"/>
      <c r="I78" s="49"/>
      <c r="J78" s="49"/>
      <c r="K78" s="49"/>
      <c r="L78" s="49"/>
      <c r="M78" s="49"/>
      <c r="N78"/>
      <c r="O78"/>
      <c r="P78"/>
    </row>
    <row r="79" spans="1:16" ht="18" customHeight="1" x14ac:dyDescent="0.25">
      <c r="A79" s="2092" t="s">
        <v>604</v>
      </c>
      <c r="B79" s="2092"/>
      <c r="C79" s="2092"/>
      <c r="D79" s="2092"/>
      <c r="E79" s="2092"/>
      <c r="F79" s="2092"/>
      <c r="G79" s="2092"/>
      <c r="H79" s="2092"/>
      <c r="I79" s="2092"/>
      <c r="J79" s="2092"/>
      <c r="K79" s="2092"/>
      <c r="L79" s="2092"/>
      <c r="M79" s="2092"/>
      <c r="N79"/>
      <c r="O79"/>
      <c r="P79"/>
    </row>
    <row r="80" spans="1:16" x14ac:dyDescent="0.25">
      <c r="A80" s="48"/>
      <c r="B80" s="49"/>
      <c r="C80" s="49"/>
      <c r="D80" s="49"/>
      <c r="E80" s="49"/>
      <c r="F80" s="48"/>
      <c r="G80" s="48"/>
      <c r="H80" s="48"/>
      <c r="I80" s="48"/>
      <c r="J80" s="48"/>
      <c r="K80" s="48"/>
      <c r="L80" s="48"/>
      <c r="M80" s="48"/>
      <c r="N80"/>
      <c r="O80"/>
      <c r="P80"/>
    </row>
    <row r="81" spans="1:16" ht="17.25" customHeight="1" x14ac:dyDescent="0.25">
      <c r="A81" s="2115" t="s">
        <v>117</v>
      </c>
      <c r="B81" s="2115"/>
      <c r="C81" s="2115"/>
      <c r="D81" s="49"/>
      <c r="E81" s="49"/>
      <c r="F81" s="49"/>
      <c r="G81" s="49"/>
      <c r="H81" s="49"/>
      <c r="I81" s="49"/>
      <c r="J81" s="49"/>
      <c r="K81" s="49"/>
      <c r="L81" s="49"/>
      <c r="M81" s="49"/>
      <c r="N81"/>
      <c r="O81"/>
      <c r="P81"/>
    </row>
    <row r="82" spans="1:16" x14ac:dyDescent="0.25">
      <c r="A82" s="49"/>
      <c r="B82" s="49"/>
      <c r="C82" s="49"/>
      <c r="D82" s="49"/>
      <c r="E82" s="49"/>
      <c r="F82" s="49"/>
      <c r="G82" s="49"/>
      <c r="H82" s="49"/>
      <c r="I82" s="49"/>
      <c r="J82" s="49"/>
      <c r="K82" s="49"/>
      <c r="L82" s="49"/>
      <c r="M82" s="49"/>
      <c r="N82"/>
      <c r="O82"/>
      <c r="P82"/>
    </row>
    <row r="83" spans="1:16" x14ac:dyDescent="0.25">
      <c r="A83" s="49"/>
      <c r="B83" s="669" t="s">
        <v>807</v>
      </c>
      <c r="C83" s="49"/>
      <c r="D83" s="49"/>
      <c r="E83" s="49"/>
      <c r="F83" s="49"/>
      <c r="G83" s="49"/>
      <c r="H83" s="49"/>
      <c r="I83" s="49"/>
      <c r="J83" s="49"/>
      <c r="K83" s="49"/>
      <c r="L83" s="49"/>
      <c r="M83" s="49"/>
      <c r="N83"/>
      <c r="O83"/>
      <c r="P83"/>
    </row>
    <row r="84" spans="1:16" x14ac:dyDescent="0.25">
      <c r="A84" s="49"/>
      <c r="B84" s="49"/>
      <c r="C84" s="49"/>
      <c r="D84" s="49"/>
      <c r="E84" s="49"/>
      <c r="F84" s="49"/>
      <c r="G84" s="49"/>
      <c r="H84" s="49"/>
      <c r="I84" s="49"/>
      <c r="J84" s="49"/>
      <c r="K84" s="49"/>
      <c r="L84" s="49"/>
      <c r="M84" s="49"/>
      <c r="N84"/>
      <c r="O84"/>
      <c r="P84"/>
    </row>
    <row r="85" spans="1:16" x14ac:dyDescent="0.25">
      <c r="A85" s="49"/>
      <c r="B85" s="2159" t="s">
        <v>1806</v>
      </c>
      <c r="C85" s="2160"/>
      <c r="D85" s="2160"/>
      <c r="E85" s="2160"/>
      <c r="F85" s="2160"/>
      <c r="G85" s="2160"/>
      <c r="H85" s="2161"/>
      <c r="I85" s="49"/>
      <c r="J85" s="49"/>
      <c r="K85" s="49"/>
      <c r="L85" s="49"/>
      <c r="M85" s="49"/>
      <c r="N85"/>
      <c r="O85"/>
      <c r="P85"/>
    </row>
    <row r="86" spans="1:16" x14ac:dyDescent="0.25">
      <c r="A86" s="49"/>
      <c r="B86" s="2222" t="s">
        <v>1807</v>
      </c>
      <c r="C86" s="2223"/>
      <c r="D86" s="2223"/>
      <c r="E86" s="2223"/>
      <c r="F86" s="2223"/>
      <c r="G86" s="2223"/>
      <c r="H86" s="2224"/>
      <c r="I86" s="49"/>
      <c r="J86" s="49"/>
      <c r="K86" s="49"/>
      <c r="L86" s="49"/>
      <c r="M86" s="49"/>
      <c r="N86"/>
      <c r="O86"/>
      <c r="P86"/>
    </row>
    <row r="87" spans="1:16" x14ac:dyDescent="0.25">
      <c r="A87" s="49"/>
      <c r="B87" s="2222" t="s">
        <v>1808</v>
      </c>
      <c r="C87" s="2223"/>
      <c r="D87" s="2223"/>
      <c r="E87" s="2223"/>
      <c r="F87" s="2223"/>
      <c r="G87" s="2223"/>
      <c r="H87" s="2224"/>
      <c r="I87" s="49"/>
      <c r="J87" s="49"/>
      <c r="K87" s="49"/>
      <c r="L87" s="49"/>
      <c r="M87" s="49"/>
      <c r="N87"/>
      <c r="O87"/>
    </row>
    <row r="88" spans="1:16" x14ac:dyDescent="0.25">
      <c r="A88" s="49"/>
      <c r="B88" s="2222" t="s">
        <v>1809</v>
      </c>
      <c r="C88" s="2223"/>
      <c r="D88" s="2223"/>
      <c r="E88" s="2223"/>
      <c r="F88" s="2223"/>
      <c r="G88" s="2223"/>
      <c r="H88" s="2224"/>
      <c r="I88" s="49"/>
      <c r="J88" s="49"/>
      <c r="K88" s="49"/>
      <c r="L88" s="49"/>
      <c r="M88" s="49"/>
      <c r="N88"/>
      <c r="O88"/>
    </row>
    <row r="89" spans="1:16" x14ac:dyDescent="0.25">
      <c r="A89" s="49"/>
      <c r="B89" s="2225" t="s">
        <v>1811</v>
      </c>
      <c r="C89" s="2226"/>
      <c r="D89" s="2226"/>
      <c r="E89" s="2226"/>
      <c r="F89" s="2226"/>
      <c r="G89" s="2226"/>
      <c r="H89" s="2227"/>
      <c r="I89" s="49"/>
      <c r="J89" s="49"/>
      <c r="K89" s="49"/>
      <c r="L89" s="49"/>
      <c r="M89" s="49"/>
      <c r="N89"/>
      <c r="O89"/>
    </row>
    <row r="90" spans="1:16" ht="15.75" customHeight="1" x14ac:dyDescent="0.25">
      <c r="A90" s="49"/>
      <c r="B90" s="49"/>
      <c r="C90" s="49"/>
      <c r="D90" s="49"/>
      <c r="E90" s="49"/>
      <c r="F90" s="49"/>
      <c r="G90" s="49"/>
      <c r="H90" s="49"/>
      <c r="I90" s="49"/>
      <c r="J90" s="49"/>
      <c r="K90" s="49"/>
      <c r="L90" s="49"/>
      <c r="M90" s="49"/>
      <c r="N90"/>
      <c r="O90"/>
    </row>
    <row r="91" spans="1:16" ht="17.25" customHeight="1" x14ac:dyDescent="0.25">
      <c r="A91" s="2115" t="s">
        <v>9</v>
      </c>
      <c r="B91" s="2115"/>
      <c r="C91" s="2115"/>
      <c r="D91" s="49"/>
      <c r="E91" s="49"/>
      <c r="F91" s="49"/>
      <c r="G91" s="49"/>
      <c r="H91" s="49"/>
      <c r="I91" s="49"/>
      <c r="J91" s="49"/>
      <c r="K91" s="49"/>
      <c r="L91" s="49"/>
      <c r="M91" s="49"/>
      <c r="N91"/>
      <c r="O91"/>
    </row>
    <row r="92" spans="1:16" x14ac:dyDescent="0.25">
      <c r="A92" s="49"/>
      <c r="B92" s="49"/>
      <c r="C92" s="48"/>
      <c r="D92" s="48"/>
      <c r="E92" s="49"/>
      <c r="F92" s="49"/>
      <c r="G92" s="49"/>
      <c r="H92" s="49"/>
      <c r="I92" s="49"/>
      <c r="J92" s="49"/>
      <c r="K92" s="49"/>
      <c r="L92" s="49"/>
      <c r="M92" s="49"/>
      <c r="N92"/>
      <c r="O92"/>
    </row>
    <row r="93" spans="1:16" ht="15" customHeight="1" x14ac:dyDescent="0.25">
      <c r="A93" s="49"/>
      <c r="B93" s="671" t="s">
        <v>1042</v>
      </c>
      <c r="C93" s="48"/>
      <c r="D93" s="48"/>
      <c r="E93" s="49"/>
      <c r="F93" s="49"/>
      <c r="G93" s="49"/>
      <c r="H93" s="49"/>
      <c r="I93" s="49"/>
      <c r="J93" s="49"/>
      <c r="K93" s="49"/>
      <c r="L93" s="49"/>
      <c r="M93" s="49"/>
      <c r="N93"/>
      <c r="O93"/>
    </row>
    <row r="94" spans="1:16" ht="16.5" customHeight="1" x14ac:dyDescent="0.25">
      <c r="A94" s="49"/>
      <c r="B94" s="49"/>
      <c r="C94" s="48"/>
      <c r="D94" s="48"/>
      <c r="E94" s="49"/>
      <c r="F94" s="49"/>
      <c r="G94" s="49"/>
      <c r="H94" s="49"/>
      <c r="I94" s="49"/>
      <c r="J94" s="49"/>
      <c r="K94" s="49"/>
      <c r="L94" s="49"/>
      <c r="M94" s="49"/>
      <c r="N94"/>
      <c r="O94"/>
    </row>
    <row r="95" spans="1:16" ht="21" customHeight="1" x14ac:dyDescent="0.25">
      <c r="A95" s="49"/>
      <c r="B95" s="2228" t="s">
        <v>2025</v>
      </c>
      <c r="C95" s="2228"/>
      <c r="D95" s="2228"/>
      <c r="E95" s="2228"/>
      <c r="F95" s="2228"/>
      <c r="G95" s="2228"/>
      <c r="H95" s="2228"/>
      <c r="I95" s="2228"/>
      <c r="J95" s="2228"/>
      <c r="K95" s="2228"/>
      <c r="L95" s="2228"/>
      <c r="M95" s="49"/>
      <c r="N95"/>
      <c r="O95"/>
    </row>
    <row r="96" spans="1:16" ht="21" customHeight="1" x14ac:dyDescent="0.25">
      <c r="A96" s="49"/>
      <c r="B96" s="2228"/>
      <c r="C96" s="2228"/>
      <c r="D96" s="2228"/>
      <c r="E96" s="2228"/>
      <c r="F96" s="2228"/>
      <c r="G96" s="2228"/>
      <c r="H96" s="2228"/>
      <c r="I96" s="2228"/>
      <c r="J96" s="2228"/>
      <c r="K96" s="2228"/>
      <c r="L96" s="2228"/>
      <c r="M96" s="49"/>
      <c r="N96"/>
      <c r="O96"/>
    </row>
    <row r="97" spans="1:15" ht="12" customHeight="1" x14ac:dyDescent="0.25">
      <c r="A97" s="49"/>
      <c r="B97" s="49"/>
      <c r="C97" s="48"/>
      <c r="D97" s="48"/>
      <c r="E97" s="49"/>
      <c r="F97" s="49"/>
      <c r="G97" s="49"/>
      <c r="H97" s="49"/>
      <c r="I97" s="49"/>
      <c r="J97" s="49"/>
      <c r="K97" s="49"/>
      <c r="L97" s="49"/>
      <c r="M97" s="49"/>
      <c r="N97"/>
      <c r="O97"/>
    </row>
    <row r="98" spans="1:15" x14ac:dyDescent="0.25">
      <c r="A98" s="49"/>
      <c r="B98" s="614" t="s">
        <v>1816</v>
      </c>
      <c r="C98" s="48"/>
      <c r="D98" s="48"/>
      <c r="E98" s="49"/>
      <c r="F98" s="49"/>
      <c r="G98" s="49"/>
      <c r="H98" s="49"/>
      <c r="I98" s="49"/>
      <c r="J98" s="49"/>
      <c r="K98" s="49"/>
      <c r="L98" s="49"/>
      <c r="M98" s="49"/>
      <c r="N98"/>
      <c r="O98"/>
    </row>
    <row r="99" spans="1:15" ht="12" customHeight="1" x14ac:dyDescent="0.25">
      <c r="A99" s="49"/>
      <c r="B99" s="49"/>
      <c r="C99" s="48"/>
      <c r="D99" s="48"/>
      <c r="E99" s="49"/>
      <c r="F99" s="49"/>
      <c r="G99" s="49"/>
      <c r="H99" s="49"/>
      <c r="I99" s="49"/>
      <c r="J99" s="49"/>
      <c r="K99" s="49"/>
      <c r="L99" s="49"/>
      <c r="M99" s="49"/>
      <c r="N99"/>
      <c r="O99"/>
    </row>
    <row r="100" spans="1:15" ht="15" customHeight="1" x14ac:dyDescent="0.25">
      <c r="A100" s="49"/>
      <c r="B100" s="2199" t="s">
        <v>716</v>
      </c>
      <c r="C100" s="2193" t="s">
        <v>1332</v>
      </c>
      <c r="D100" s="2193" t="s">
        <v>1810</v>
      </c>
      <c r="E100" s="2193" t="s">
        <v>1812</v>
      </c>
      <c r="F100" s="2193" t="s">
        <v>1813</v>
      </c>
      <c r="G100" s="2193"/>
      <c r="H100" s="2193" t="s">
        <v>1805</v>
      </c>
      <c r="I100" s="2193" t="s">
        <v>1334</v>
      </c>
      <c r="J100" s="49"/>
      <c r="K100" s="49"/>
      <c r="L100" s="49"/>
      <c r="M100" s="49"/>
      <c r="N100"/>
    </row>
    <row r="101" spans="1:15" ht="15" customHeight="1" x14ac:dyDescent="0.25">
      <c r="A101" s="49"/>
      <c r="B101" s="2200"/>
      <c r="C101" s="2195"/>
      <c r="D101" s="2195"/>
      <c r="E101" s="2195"/>
      <c r="F101" s="2195"/>
      <c r="G101" s="2195"/>
      <c r="H101" s="2195"/>
      <c r="I101" s="2195"/>
      <c r="J101" s="49"/>
      <c r="K101" s="49"/>
      <c r="L101" s="49"/>
      <c r="M101" s="49"/>
      <c r="N101"/>
    </row>
    <row r="102" spans="1:15" x14ac:dyDescent="0.25">
      <c r="A102" s="49"/>
      <c r="B102" s="2219"/>
      <c r="C102" s="2219"/>
      <c r="D102" s="245"/>
      <c r="E102" s="245" t="s">
        <v>62</v>
      </c>
      <c r="F102" s="1618" t="s">
        <v>62</v>
      </c>
      <c r="G102" s="1619"/>
      <c r="H102" s="2216">
        <f>IF(AND(E102&lt;&gt;"Select",E102&lt;&gt;F102,F102&lt;&gt;"Select",F102&lt;&gt;"",E102&lt;&gt;""),D102,0)+IF(AND(E103&lt;&gt;"Select",E103&lt;&gt;F103,F103&lt;&gt;"Select",F103&lt;&gt;"",E103&lt;&gt;""),D103,0)+IF(AND(E104&lt;&gt;"Select",E104&lt;&gt;F104,F104&lt;&gt;"Select",F104&lt;&gt;"",E104&lt;&gt;""),D104,0)</f>
        <v>0</v>
      </c>
      <c r="I102" s="2216">
        <f>IFERROR(IF(H102&gt;=0.75*C102,C102,H102),"")</f>
        <v>0</v>
      </c>
      <c r="J102" s="49"/>
      <c r="K102" s="49"/>
      <c r="L102" s="49"/>
      <c r="M102" s="49"/>
      <c r="N102"/>
    </row>
    <row r="103" spans="1:15" x14ac:dyDescent="0.25">
      <c r="A103" s="49"/>
      <c r="B103" s="2220"/>
      <c r="C103" s="2220"/>
      <c r="D103" s="245"/>
      <c r="E103" s="245" t="s">
        <v>62</v>
      </c>
      <c r="F103" s="1618" t="s">
        <v>62</v>
      </c>
      <c r="G103" s="1619"/>
      <c r="H103" s="2217"/>
      <c r="I103" s="2217"/>
      <c r="J103" s="49"/>
      <c r="K103" s="49"/>
      <c r="L103" s="49"/>
      <c r="M103" s="49"/>
      <c r="N103"/>
    </row>
    <row r="104" spans="1:15" x14ac:dyDescent="0.25">
      <c r="A104" s="49"/>
      <c r="B104" s="2221"/>
      <c r="C104" s="2221"/>
      <c r="D104" s="985"/>
      <c r="E104" s="245" t="s">
        <v>62</v>
      </c>
      <c r="F104" s="1618" t="s">
        <v>62</v>
      </c>
      <c r="G104" s="1619"/>
      <c r="H104" s="2218"/>
      <c r="I104" s="2218"/>
      <c r="J104" s="49"/>
      <c r="K104" s="49"/>
      <c r="L104" s="49"/>
      <c r="M104" s="49"/>
      <c r="N104"/>
    </row>
    <row r="105" spans="1:15" x14ac:dyDescent="0.25">
      <c r="A105" s="49"/>
      <c r="B105" s="2219"/>
      <c r="C105" s="2219"/>
      <c r="D105" s="245"/>
      <c r="E105" s="245" t="s">
        <v>62</v>
      </c>
      <c r="F105" s="1618" t="s">
        <v>62</v>
      </c>
      <c r="G105" s="1619"/>
      <c r="H105" s="2216">
        <f>IF(AND(E105&lt;&gt;"Select",E105&lt;&gt;F105,F105&lt;&gt;"Select",F105&lt;&gt;"",E105&lt;&gt;""),D105,0)+IF(AND(E106&lt;&gt;"Select",E106&lt;&gt;F106,F106&lt;&gt;"Select",F106&lt;&gt;"",E106&lt;&gt;""),D106,0)+IF(AND(E107&lt;&gt;"Select",E107&lt;&gt;F107,F107&lt;&gt;"Select",F107&lt;&gt;"",E107&lt;&gt;""),D107,0)</f>
        <v>0</v>
      </c>
      <c r="I105" s="2216">
        <f>IFERROR(IF(H105&gt;=0.75*C105,C105,H105),"")</f>
        <v>0</v>
      </c>
      <c r="J105" s="49"/>
      <c r="K105" s="49"/>
      <c r="L105" s="49"/>
      <c r="M105" s="49"/>
      <c r="N105"/>
    </row>
    <row r="106" spans="1:15" x14ac:dyDescent="0.25">
      <c r="A106" s="49"/>
      <c r="B106" s="2220"/>
      <c r="C106" s="2220"/>
      <c r="D106" s="245"/>
      <c r="E106" s="245" t="s">
        <v>62</v>
      </c>
      <c r="F106" s="1618" t="s">
        <v>62</v>
      </c>
      <c r="G106" s="1619"/>
      <c r="H106" s="2217"/>
      <c r="I106" s="2217"/>
      <c r="J106" s="49"/>
      <c r="K106" s="49"/>
      <c r="L106" s="49"/>
      <c r="M106" s="49"/>
      <c r="N106"/>
    </row>
    <row r="107" spans="1:15" x14ac:dyDescent="0.25">
      <c r="A107" s="49"/>
      <c r="B107" s="2221"/>
      <c r="C107" s="2221"/>
      <c r="D107" s="985"/>
      <c r="E107" s="245" t="s">
        <v>62</v>
      </c>
      <c r="F107" s="1618" t="s">
        <v>62</v>
      </c>
      <c r="G107" s="1619"/>
      <c r="H107" s="2218"/>
      <c r="I107" s="2218"/>
      <c r="J107" s="49"/>
      <c r="K107" s="49"/>
      <c r="L107" s="49"/>
      <c r="M107" s="49"/>
      <c r="N107"/>
    </row>
    <row r="108" spans="1:15" x14ac:dyDescent="0.25">
      <c r="A108" s="49"/>
      <c r="B108" s="2219"/>
      <c r="C108" s="2219"/>
      <c r="D108" s="245"/>
      <c r="E108" s="245" t="s">
        <v>62</v>
      </c>
      <c r="F108" s="1618" t="s">
        <v>62</v>
      </c>
      <c r="G108" s="1619"/>
      <c r="H108" s="2216">
        <f>IF(AND(E108&lt;&gt;"Select",E108&lt;&gt;F108,F108&lt;&gt;"Select",F108&lt;&gt;"",E108&lt;&gt;""),D108,0)+IF(AND(E109&lt;&gt;"Select",E109&lt;&gt;F109,F109&lt;&gt;"Select",F109&lt;&gt;"",E109&lt;&gt;""),D109,0)+IF(AND(E110&lt;&gt;"Select",E110&lt;&gt;F110,F110&lt;&gt;"Select",F110&lt;&gt;"",E110&lt;&gt;""),D110,0)</f>
        <v>0</v>
      </c>
      <c r="I108" s="2216">
        <f>IFERROR(IF(H108&gt;=0.75*C108,C108,H108),"")</f>
        <v>0</v>
      </c>
      <c r="J108" s="49"/>
      <c r="K108" s="49"/>
      <c r="L108" s="49"/>
      <c r="M108" s="49"/>
      <c r="N108"/>
    </row>
    <row r="109" spans="1:15" x14ac:dyDescent="0.25">
      <c r="A109" s="49"/>
      <c r="B109" s="2220"/>
      <c r="C109" s="2220"/>
      <c r="D109" s="245"/>
      <c r="E109" s="245" t="s">
        <v>62</v>
      </c>
      <c r="F109" s="1618" t="s">
        <v>62</v>
      </c>
      <c r="G109" s="1619"/>
      <c r="H109" s="2217"/>
      <c r="I109" s="2217"/>
      <c r="J109" s="49"/>
      <c r="K109" s="49"/>
      <c r="L109" s="49"/>
      <c r="M109" s="49"/>
      <c r="N109"/>
    </row>
    <row r="110" spans="1:15" x14ac:dyDescent="0.25">
      <c r="A110" s="49"/>
      <c r="B110" s="2221"/>
      <c r="C110" s="2221"/>
      <c r="D110" s="985"/>
      <c r="E110" s="245" t="s">
        <v>62</v>
      </c>
      <c r="F110" s="1618" t="s">
        <v>62</v>
      </c>
      <c r="G110" s="1619"/>
      <c r="H110" s="2218"/>
      <c r="I110" s="2218"/>
      <c r="J110" s="49"/>
      <c r="K110" s="49"/>
      <c r="L110" s="49"/>
      <c r="M110" s="49"/>
      <c r="N110"/>
    </row>
    <row r="111" spans="1:15" x14ac:dyDescent="0.25">
      <c r="A111" s="49"/>
      <c r="B111" s="2219"/>
      <c r="C111" s="2219"/>
      <c r="D111" s="245"/>
      <c r="E111" s="245" t="s">
        <v>62</v>
      </c>
      <c r="F111" s="1618" t="s">
        <v>62</v>
      </c>
      <c r="G111" s="1619"/>
      <c r="H111" s="2216">
        <f>IF(AND(E111&lt;&gt;"Select",E111&lt;&gt;F111,F111&lt;&gt;"Select",F111&lt;&gt;"",E111&lt;&gt;""),D111,0)+IF(AND(E112&lt;&gt;"Select",E112&lt;&gt;F112,F112&lt;&gt;"Select",F112&lt;&gt;"",E112&lt;&gt;""),D112,0)+IF(AND(E113&lt;&gt;"Select",E113&lt;&gt;F113,F113&lt;&gt;"Select",F113&lt;&gt;"",E113&lt;&gt;""),D113,0)</f>
        <v>0</v>
      </c>
      <c r="I111" s="2216">
        <f>IFERROR(IF(H111&gt;=0.75*C111,C111,H111),"")</f>
        <v>0</v>
      </c>
      <c r="J111" s="49"/>
      <c r="K111" s="49"/>
      <c r="L111" s="49"/>
      <c r="M111" s="49"/>
      <c r="N111"/>
    </row>
    <row r="112" spans="1:15" x14ac:dyDescent="0.25">
      <c r="A112" s="49"/>
      <c r="B112" s="2220"/>
      <c r="C112" s="2220"/>
      <c r="D112" s="245"/>
      <c r="E112" s="245" t="s">
        <v>62</v>
      </c>
      <c r="F112" s="1618" t="s">
        <v>62</v>
      </c>
      <c r="G112" s="1619"/>
      <c r="H112" s="2217"/>
      <c r="I112" s="2217"/>
      <c r="J112" s="49"/>
      <c r="K112" s="49"/>
      <c r="L112" s="49"/>
      <c r="M112" s="49"/>
      <c r="N112"/>
    </row>
    <row r="113" spans="1:14" x14ac:dyDescent="0.25">
      <c r="A113" s="49"/>
      <c r="B113" s="2221"/>
      <c r="C113" s="2221"/>
      <c r="D113" s="985"/>
      <c r="E113" s="245" t="s">
        <v>62</v>
      </c>
      <c r="F113" s="1618" t="s">
        <v>62</v>
      </c>
      <c r="G113" s="1619"/>
      <c r="H113" s="2218"/>
      <c r="I113" s="2218"/>
      <c r="J113" s="49"/>
      <c r="K113" s="49"/>
      <c r="L113" s="49"/>
      <c r="M113" s="49"/>
      <c r="N113"/>
    </row>
    <row r="114" spans="1:14" x14ac:dyDescent="0.25">
      <c r="A114" s="49"/>
      <c r="B114" s="2219"/>
      <c r="C114" s="2219"/>
      <c r="D114" s="245"/>
      <c r="E114" s="245" t="s">
        <v>62</v>
      </c>
      <c r="F114" s="1618" t="s">
        <v>62</v>
      </c>
      <c r="G114" s="1619"/>
      <c r="H114" s="2216">
        <f>IF(AND(E114&lt;&gt;"Select",E114&lt;&gt;F114,F114&lt;&gt;"Select",F114&lt;&gt;"",E114&lt;&gt;""),D114,0)+IF(AND(E115&lt;&gt;"Select",E115&lt;&gt;F115,F115&lt;&gt;"Select",F115&lt;&gt;"",E115&lt;&gt;""),D115,0)+IF(AND(E116&lt;&gt;"Select",E116&lt;&gt;F116,F116&lt;&gt;"Select",F116&lt;&gt;"",E116&lt;&gt;""),D116,0)</f>
        <v>0</v>
      </c>
      <c r="I114" s="2216">
        <f>IFERROR(IF(H114&gt;=0.75*C114,C114,H114),"")</f>
        <v>0</v>
      </c>
      <c r="J114" s="49"/>
      <c r="K114" s="49"/>
      <c r="L114" s="49"/>
      <c r="M114" s="49"/>
      <c r="N114"/>
    </row>
    <row r="115" spans="1:14" x14ac:dyDescent="0.25">
      <c r="A115" s="49"/>
      <c r="B115" s="2220"/>
      <c r="C115" s="2220"/>
      <c r="D115" s="245"/>
      <c r="E115" s="245" t="s">
        <v>62</v>
      </c>
      <c r="F115" s="1618" t="s">
        <v>62</v>
      </c>
      <c r="G115" s="1619"/>
      <c r="H115" s="2217"/>
      <c r="I115" s="2217"/>
      <c r="J115" s="49"/>
      <c r="K115" s="49"/>
      <c r="L115" s="49"/>
      <c r="M115" s="49"/>
      <c r="N115"/>
    </row>
    <row r="116" spans="1:14" x14ac:dyDescent="0.25">
      <c r="A116" s="49"/>
      <c r="B116" s="2221"/>
      <c r="C116" s="2221"/>
      <c r="D116" s="985"/>
      <c r="E116" s="245" t="s">
        <v>62</v>
      </c>
      <c r="F116" s="1618" t="s">
        <v>62</v>
      </c>
      <c r="G116" s="1619"/>
      <c r="H116" s="2218"/>
      <c r="I116" s="2218"/>
      <c r="J116" s="49"/>
      <c r="K116" s="49"/>
      <c r="L116" s="49"/>
      <c r="M116" s="49"/>
      <c r="N116"/>
    </row>
    <row r="117" spans="1:14" x14ac:dyDescent="0.25">
      <c r="A117" s="49"/>
      <c r="B117" s="2219"/>
      <c r="C117" s="2219"/>
      <c r="D117" s="245"/>
      <c r="E117" s="245" t="s">
        <v>62</v>
      </c>
      <c r="F117" s="1618" t="s">
        <v>62</v>
      </c>
      <c r="G117" s="1619"/>
      <c r="H117" s="2216">
        <f>IF(AND(E117&lt;&gt;"Select",E117&lt;&gt;F117,F117&lt;&gt;"Select",F117&lt;&gt;"",E117&lt;&gt;""),D117,0)+IF(AND(E118&lt;&gt;"Select",E118&lt;&gt;F118,F118&lt;&gt;"Select",F118&lt;&gt;"",E118&lt;&gt;""),D118,0)+IF(AND(E119&lt;&gt;"Select",E119&lt;&gt;F119,F119&lt;&gt;"Select",F119&lt;&gt;"",E119&lt;&gt;""),D119,0)</f>
        <v>0</v>
      </c>
      <c r="I117" s="2216">
        <f>IFERROR(IF(H117&gt;=0.75*C117,C117,H117),"")</f>
        <v>0</v>
      </c>
      <c r="J117" s="49"/>
      <c r="K117" s="49"/>
      <c r="L117" s="49"/>
      <c r="M117" s="49"/>
      <c r="N117"/>
    </row>
    <row r="118" spans="1:14" x14ac:dyDescent="0.25">
      <c r="A118" s="49"/>
      <c r="B118" s="2220"/>
      <c r="C118" s="2220"/>
      <c r="D118" s="245"/>
      <c r="E118" s="245" t="s">
        <v>62</v>
      </c>
      <c r="F118" s="1618" t="s">
        <v>62</v>
      </c>
      <c r="G118" s="1619"/>
      <c r="H118" s="2217"/>
      <c r="I118" s="2217"/>
      <c r="J118" s="49"/>
      <c r="K118" s="49"/>
      <c r="L118" s="49"/>
      <c r="M118" s="49"/>
      <c r="N118"/>
    </row>
    <row r="119" spans="1:14" x14ac:dyDescent="0.25">
      <c r="A119" s="49"/>
      <c r="B119" s="2221"/>
      <c r="C119" s="2221"/>
      <c r="D119" s="985"/>
      <c r="E119" s="245" t="s">
        <v>62</v>
      </c>
      <c r="F119" s="1618" t="s">
        <v>62</v>
      </c>
      <c r="G119" s="1619"/>
      <c r="H119" s="2218"/>
      <c r="I119" s="2218"/>
      <c r="J119" s="49"/>
      <c r="K119" s="49"/>
      <c r="L119" s="49"/>
      <c r="M119" s="49"/>
      <c r="N119"/>
    </row>
    <row r="120" spans="1:14" x14ac:dyDescent="0.25">
      <c r="A120" s="49"/>
      <c r="B120" s="2219"/>
      <c r="C120" s="2219"/>
      <c r="D120" s="245"/>
      <c r="E120" s="245" t="s">
        <v>62</v>
      </c>
      <c r="F120" s="1618" t="s">
        <v>62</v>
      </c>
      <c r="G120" s="1619"/>
      <c r="H120" s="2216">
        <f>IF(AND(E120&lt;&gt;"Select",E120&lt;&gt;F120,F120&lt;&gt;"Select",F120&lt;&gt;"",E120&lt;&gt;""),D120,0)+IF(AND(E121&lt;&gt;"Select",E121&lt;&gt;F121,F121&lt;&gt;"Select",F121&lt;&gt;"",E121&lt;&gt;""),D121,0)+IF(AND(E122&lt;&gt;"Select",E122&lt;&gt;F122,F122&lt;&gt;"Select",F122&lt;&gt;"",E122&lt;&gt;""),D122,0)</f>
        <v>0</v>
      </c>
      <c r="I120" s="2216">
        <f>IFERROR(IF(H120&gt;=0.75*C120,C120,H120),"")</f>
        <v>0</v>
      </c>
      <c r="J120" s="49"/>
      <c r="K120" s="49"/>
      <c r="L120" s="49"/>
      <c r="M120" s="49"/>
      <c r="N120"/>
    </row>
    <row r="121" spans="1:14" x14ac:dyDescent="0.25">
      <c r="A121" s="49"/>
      <c r="B121" s="2220"/>
      <c r="C121" s="2220"/>
      <c r="D121" s="245"/>
      <c r="E121" s="245" t="s">
        <v>62</v>
      </c>
      <c r="F121" s="1618" t="s">
        <v>62</v>
      </c>
      <c r="G121" s="1619"/>
      <c r="H121" s="2217"/>
      <c r="I121" s="2217"/>
      <c r="J121" s="49"/>
      <c r="K121" s="49"/>
      <c r="L121" s="49"/>
      <c r="M121" s="49"/>
      <c r="N121"/>
    </row>
    <row r="122" spans="1:14" x14ac:dyDescent="0.25">
      <c r="A122" s="49"/>
      <c r="B122" s="2221"/>
      <c r="C122" s="2221"/>
      <c r="D122" s="985"/>
      <c r="E122" s="245" t="s">
        <v>62</v>
      </c>
      <c r="F122" s="1618" t="s">
        <v>62</v>
      </c>
      <c r="G122" s="1619"/>
      <c r="H122" s="2218"/>
      <c r="I122" s="2218"/>
      <c r="J122" s="49"/>
      <c r="K122" s="49"/>
      <c r="L122" s="49"/>
      <c r="M122" s="49"/>
      <c r="N122"/>
    </row>
    <row r="123" spans="1:14" x14ac:dyDescent="0.25">
      <c r="A123" s="49"/>
      <c r="B123" s="2219"/>
      <c r="C123" s="2219"/>
      <c r="D123" s="1061"/>
      <c r="E123" s="1061" t="s">
        <v>62</v>
      </c>
      <c r="F123" s="1618" t="s">
        <v>62</v>
      </c>
      <c r="G123" s="1619"/>
      <c r="H123" s="2216">
        <f>IF(AND(E123&lt;&gt;"Select",E123&lt;&gt;F123,F123&lt;&gt;"Select",F123&lt;&gt;"",E123&lt;&gt;""),D123,0)+IF(AND(E124&lt;&gt;"Select",E124&lt;&gt;F124,F124&lt;&gt;"Select",F124&lt;&gt;"",E124&lt;&gt;""),D124,0)+IF(AND(E125&lt;&gt;"Select",E125&lt;&gt;F125,F125&lt;&gt;"Select",F125&lt;&gt;"",E125&lt;&gt;""),D125,0)</f>
        <v>0</v>
      </c>
      <c r="I123" s="2216">
        <f>IFERROR(IF(H123&gt;=0.75*C123,C123,H123),"")</f>
        <v>0</v>
      </c>
      <c r="J123" s="49"/>
      <c r="K123" s="49"/>
      <c r="L123" s="49"/>
      <c r="M123" s="49"/>
      <c r="N123"/>
    </row>
    <row r="124" spans="1:14" x14ac:dyDescent="0.25">
      <c r="A124" s="49"/>
      <c r="B124" s="2220"/>
      <c r="C124" s="2220"/>
      <c r="D124" s="1061"/>
      <c r="E124" s="1061" t="s">
        <v>62</v>
      </c>
      <c r="F124" s="1618" t="s">
        <v>62</v>
      </c>
      <c r="G124" s="1619"/>
      <c r="H124" s="2217"/>
      <c r="I124" s="2217"/>
      <c r="J124" s="49"/>
      <c r="K124" s="49"/>
      <c r="L124" s="49"/>
      <c r="M124" s="49"/>
      <c r="N124"/>
    </row>
    <row r="125" spans="1:14" x14ac:dyDescent="0.25">
      <c r="A125" s="49"/>
      <c r="B125" s="2221"/>
      <c r="C125" s="2221"/>
      <c r="D125" s="1059"/>
      <c r="E125" s="1061" t="s">
        <v>62</v>
      </c>
      <c r="F125" s="1618" t="s">
        <v>62</v>
      </c>
      <c r="G125" s="1619"/>
      <c r="H125" s="2218"/>
      <c r="I125" s="2218"/>
      <c r="J125" s="49"/>
      <c r="K125" s="49"/>
      <c r="L125" s="49"/>
      <c r="M125" s="49"/>
      <c r="N125"/>
    </row>
    <row r="126" spans="1:14" x14ac:dyDescent="0.25">
      <c r="A126" s="49"/>
      <c r="B126" s="2219"/>
      <c r="C126" s="2219"/>
      <c r="D126" s="1061"/>
      <c r="E126" s="1061" t="s">
        <v>62</v>
      </c>
      <c r="F126" s="1618" t="s">
        <v>62</v>
      </c>
      <c r="G126" s="1619"/>
      <c r="H126" s="2216">
        <f>IF(AND(E126&lt;&gt;"Select",E126&lt;&gt;F126,F126&lt;&gt;"Select",F126&lt;&gt;"",E126&lt;&gt;""),D126,0)+IF(AND(E127&lt;&gt;"Select",E127&lt;&gt;F127,F127&lt;&gt;"Select",F127&lt;&gt;"",E127&lt;&gt;""),D127,0)+IF(AND(E128&lt;&gt;"Select",E128&lt;&gt;F128,F128&lt;&gt;"Select",F128&lt;&gt;"",E128&lt;&gt;""),D128,0)</f>
        <v>0</v>
      </c>
      <c r="I126" s="2216">
        <f>IFERROR(IF(H126&gt;=0.75*C126,C126,H126),"")</f>
        <v>0</v>
      </c>
      <c r="J126" s="49"/>
      <c r="K126" s="49"/>
      <c r="L126" s="49"/>
      <c r="M126" s="49"/>
      <c r="N126"/>
    </row>
    <row r="127" spans="1:14" x14ac:dyDescent="0.25">
      <c r="A127" s="49"/>
      <c r="B127" s="2220"/>
      <c r="C127" s="2220"/>
      <c r="D127" s="1061"/>
      <c r="E127" s="1061" t="s">
        <v>62</v>
      </c>
      <c r="F127" s="1618" t="s">
        <v>62</v>
      </c>
      <c r="G127" s="1619"/>
      <c r="H127" s="2217"/>
      <c r="I127" s="2217"/>
      <c r="J127" s="49"/>
      <c r="K127" s="49"/>
      <c r="L127" s="49"/>
      <c r="M127" s="49"/>
      <c r="N127"/>
    </row>
    <row r="128" spans="1:14" x14ac:dyDescent="0.25">
      <c r="A128" s="49"/>
      <c r="B128" s="2221"/>
      <c r="C128" s="2221"/>
      <c r="D128" s="1059"/>
      <c r="E128" s="1061" t="s">
        <v>62</v>
      </c>
      <c r="F128" s="1618" t="s">
        <v>62</v>
      </c>
      <c r="G128" s="1619"/>
      <c r="H128" s="2218"/>
      <c r="I128" s="2218"/>
      <c r="J128" s="49"/>
      <c r="K128" s="49"/>
      <c r="L128" s="49"/>
      <c r="M128" s="49"/>
      <c r="N128"/>
    </row>
    <row r="129" spans="1:14" x14ac:dyDescent="0.25">
      <c r="A129" s="49"/>
      <c r="B129" s="2219"/>
      <c r="C129" s="2219"/>
      <c r="D129" s="1061"/>
      <c r="E129" s="1061" t="s">
        <v>62</v>
      </c>
      <c r="F129" s="1618" t="s">
        <v>62</v>
      </c>
      <c r="G129" s="1619"/>
      <c r="H129" s="2216">
        <f>IF(AND(E129&lt;&gt;"Select",E129&lt;&gt;F129,F129&lt;&gt;"Select",F129&lt;&gt;"",E129&lt;&gt;""),D129,0)+IF(AND(E130&lt;&gt;"Select",E130&lt;&gt;F130,F130&lt;&gt;"Select",F130&lt;&gt;"",E130&lt;&gt;""),D130,0)+IF(AND(E131&lt;&gt;"Select",E131&lt;&gt;F131,F131&lt;&gt;"Select",F131&lt;&gt;"",E131&lt;&gt;""),D131,0)</f>
        <v>0</v>
      </c>
      <c r="I129" s="2216">
        <f>IFERROR(IF(H129&gt;=0.75*C129,C129,H129),"")</f>
        <v>0</v>
      </c>
      <c r="J129" s="49"/>
      <c r="K129" s="49"/>
      <c r="L129" s="49"/>
      <c r="M129" s="49"/>
      <c r="N129"/>
    </row>
    <row r="130" spans="1:14" x14ac:dyDescent="0.25">
      <c r="A130" s="49"/>
      <c r="B130" s="2220"/>
      <c r="C130" s="2220"/>
      <c r="D130" s="1061"/>
      <c r="E130" s="1061" t="s">
        <v>62</v>
      </c>
      <c r="F130" s="1618" t="s">
        <v>62</v>
      </c>
      <c r="G130" s="1619"/>
      <c r="H130" s="2217"/>
      <c r="I130" s="2217"/>
      <c r="J130" s="49"/>
      <c r="K130" s="49"/>
      <c r="L130" s="49"/>
      <c r="M130" s="49"/>
      <c r="N130"/>
    </row>
    <row r="131" spans="1:14" x14ac:dyDescent="0.25">
      <c r="A131" s="49"/>
      <c r="B131" s="2221"/>
      <c r="C131" s="2221"/>
      <c r="D131" s="1059"/>
      <c r="E131" s="1061" t="s">
        <v>62</v>
      </c>
      <c r="F131" s="1618" t="s">
        <v>62</v>
      </c>
      <c r="G131" s="1619"/>
      <c r="H131" s="2218"/>
      <c r="I131" s="2218"/>
      <c r="J131" s="49"/>
      <c r="K131" s="49"/>
      <c r="L131" s="49"/>
      <c r="M131" s="49"/>
      <c r="N131"/>
    </row>
    <row r="132" spans="1:14" x14ac:dyDescent="0.25">
      <c r="A132" s="49"/>
      <c r="B132" s="2219"/>
      <c r="C132" s="2219"/>
      <c r="D132" s="1061"/>
      <c r="E132" s="1061" t="s">
        <v>62</v>
      </c>
      <c r="F132" s="1618" t="s">
        <v>62</v>
      </c>
      <c r="G132" s="1619"/>
      <c r="H132" s="2216">
        <f>IF(AND(E132&lt;&gt;"Select",E132&lt;&gt;F132,F132&lt;&gt;"Select",F132&lt;&gt;"",E132&lt;&gt;""),D132,0)+IF(AND(E133&lt;&gt;"Select",E133&lt;&gt;F133,F133&lt;&gt;"Select",F133&lt;&gt;"",E133&lt;&gt;""),D133,0)+IF(AND(E134&lt;&gt;"Select",E134&lt;&gt;F134,F134&lt;&gt;"Select",F134&lt;&gt;"",E134&lt;&gt;""),D134,0)</f>
        <v>0</v>
      </c>
      <c r="I132" s="2216">
        <f>IFERROR(IF(H132&gt;=0.75*C132,C132,H132),"")</f>
        <v>0</v>
      </c>
      <c r="J132" s="49"/>
      <c r="K132" s="49"/>
      <c r="L132" s="49"/>
      <c r="M132" s="49"/>
      <c r="N132"/>
    </row>
    <row r="133" spans="1:14" x14ac:dyDescent="0.25">
      <c r="A133" s="49"/>
      <c r="B133" s="2220"/>
      <c r="C133" s="2220"/>
      <c r="D133" s="1061"/>
      <c r="E133" s="1061" t="s">
        <v>62</v>
      </c>
      <c r="F133" s="1618" t="s">
        <v>62</v>
      </c>
      <c r="G133" s="1619"/>
      <c r="H133" s="2217"/>
      <c r="I133" s="2217"/>
      <c r="J133" s="49"/>
      <c r="K133" s="49"/>
      <c r="L133" s="49"/>
      <c r="M133" s="49"/>
      <c r="N133"/>
    </row>
    <row r="134" spans="1:14" x14ac:dyDescent="0.25">
      <c r="A134" s="49"/>
      <c r="B134" s="2221"/>
      <c r="C134" s="2221"/>
      <c r="D134" s="1059"/>
      <c r="E134" s="1061" t="s">
        <v>62</v>
      </c>
      <c r="F134" s="1618" t="s">
        <v>62</v>
      </c>
      <c r="G134" s="1619"/>
      <c r="H134" s="2218"/>
      <c r="I134" s="2218"/>
      <c r="J134" s="49"/>
      <c r="K134" s="49"/>
      <c r="L134" s="49"/>
      <c r="M134" s="49"/>
      <c r="N134"/>
    </row>
    <row r="135" spans="1:14" x14ac:dyDescent="0.25">
      <c r="A135" s="49"/>
      <c r="B135" s="2219"/>
      <c r="C135" s="2219"/>
      <c r="D135" s="1061"/>
      <c r="E135" s="1061" t="s">
        <v>62</v>
      </c>
      <c r="F135" s="1618" t="s">
        <v>62</v>
      </c>
      <c r="G135" s="1619"/>
      <c r="H135" s="2216">
        <f>IF(AND(E135&lt;&gt;"Select",E135&lt;&gt;F135,F135&lt;&gt;"Select",F135&lt;&gt;"",E135&lt;&gt;""),D135,0)+IF(AND(E136&lt;&gt;"Select",E136&lt;&gt;F136,F136&lt;&gt;"Select",F136&lt;&gt;"",E136&lt;&gt;""),D136,0)+IF(AND(E137&lt;&gt;"Select",E137&lt;&gt;F137,F137&lt;&gt;"Select",F137&lt;&gt;"",E137&lt;&gt;""),D137,0)</f>
        <v>0</v>
      </c>
      <c r="I135" s="2216">
        <f>IFERROR(IF(H135&gt;=0.75*C135,C135,H135),"")</f>
        <v>0</v>
      </c>
      <c r="J135" s="49"/>
      <c r="K135" s="49"/>
      <c r="L135" s="49"/>
      <c r="M135" s="49"/>
      <c r="N135"/>
    </row>
    <row r="136" spans="1:14" x14ac:dyDescent="0.25">
      <c r="A136" s="49"/>
      <c r="B136" s="2220"/>
      <c r="C136" s="2220"/>
      <c r="D136" s="1061"/>
      <c r="E136" s="1061" t="s">
        <v>62</v>
      </c>
      <c r="F136" s="1618" t="s">
        <v>62</v>
      </c>
      <c r="G136" s="1619"/>
      <c r="H136" s="2217"/>
      <c r="I136" s="2217"/>
      <c r="J136" s="49"/>
      <c r="K136" s="49"/>
      <c r="L136" s="49"/>
      <c r="M136" s="49"/>
      <c r="N136"/>
    </row>
    <row r="137" spans="1:14" x14ac:dyDescent="0.25">
      <c r="A137" s="49"/>
      <c r="B137" s="2221"/>
      <c r="C137" s="2221"/>
      <c r="D137" s="1059"/>
      <c r="E137" s="1061" t="s">
        <v>62</v>
      </c>
      <c r="F137" s="1618" t="s">
        <v>62</v>
      </c>
      <c r="G137" s="1619"/>
      <c r="H137" s="2218"/>
      <c r="I137" s="2218"/>
      <c r="J137" s="49"/>
      <c r="K137" s="49"/>
      <c r="L137" s="49"/>
      <c r="M137" s="49"/>
      <c r="N137"/>
    </row>
    <row r="138" spans="1:14" x14ac:dyDescent="0.25">
      <c r="A138" s="49"/>
      <c r="B138" s="2219"/>
      <c r="C138" s="2219"/>
      <c r="D138" s="245"/>
      <c r="E138" s="245" t="s">
        <v>62</v>
      </c>
      <c r="F138" s="1618" t="s">
        <v>62</v>
      </c>
      <c r="G138" s="1619"/>
      <c r="H138" s="2216">
        <f>IF(AND(E138&lt;&gt;"Select",E138&lt;&gt;F138,F138&lt;&gt;"Select",F138&lt;&gt;"",E138&lt;&gt;""),D138,0)+IF(AND(E139&lt;&gt;"Select",E139&lt;&gt;F139,F139&lt;&gt;"Select",F139&lt;&gt;"",E139&lt;&gt;""),D139,0)+IF(AND(E140&lt;&gt;"Select",E140&lt;&gt;F140,F140&lt;&gt;"Select",F140&lt;&gt;"",E140&lt;&gt;""),D140,0)</f>
        <v>0</v>
      </c>
      <c r="I138" s="2216">
        <f>IFERROR(IF(H138&gt;=0.75*C138,C138,H138),"")</f>
        <v>0</v>
      </c>
      <c r="J138" s="49"/>
      <c r="K138" s="49"/>
      <c r="L138" s="49"/>
      <c r="M138" s="49"/>
      <c r="N138"/>
    </row>
    <row r="139" spans="1:14" x14ac:dyDescent="0.25">
      <c r="A139" s="49"/>
      <c r="B139" s="2220"/>
      <c r="C139" s="2220"/>
      <c r="D139" s="245"/>
      <c r="E139" s="245" t="s">
        <v>62</v>
      </c>
      <c r="F139" s="1618" t="s">
        <v>62</v>
      </c>
      <c r="G139" s="1619"/>
      <c r="H139" s="2217"/>
      <c r="I139" s="2217"/>
      <c r="J139" s="49"/>
      <c r="K139" s="49"/>
      <c r="L139" s="49"/>
      <c r="M139" s="49"/>
      <c r="N139"/>
    </row>
    <row r="140" spans="1:14" x14ac:dyDescent="0.25">
      <c r="A140" s="49"/>
      <c r="B140" s="2221"/>
      <c r="C140" s="2221"/>
      <c r="D140" s="985"/>
      <c r="E140" s="245" t="s">
        <v>62</v>
      </c>
      <c r="F140" s="1618" t="s">
        <v>62</v>
      </c>
      <c r="G140" s="1619"/>
      <c r="H140" s="2218"/>
      <c r="I140" s="2218"/>
      <c r="J140" s="49"/>
      <c r="K140" s="49"/>
      <c r="L140" s="49"/>
      <c r="M140" s="49"/>
      <c r="N140"/>
    </row>
    <row r="141" spans="1:14" x14ac:dyDescent="0.25">
      <c r="A141" s="49"/>
      <c r="B141" s="2219"/>
      <c r="C141" s="2219"/>
      <c r="D141" s="245"/>
      <c r="E141" s="245" t="s">
        <v>62</v>
      </c>
      <c r="F141" s="1618" t="s">
        <v>62</v>
      </c>
      <c r="G141" s="1619"/>
      <c r="H141" s="2216">
        <f>IF(AND(E141&lt;&gt;"Select",E141&lt;&gt;F141,F141&lt;&gt;"Select",F141&lt;&gt;"",E141&lt;&gt;""),D141,0)+IF(AND(E142&lt;&gt;"Select",E142&lt;&gt;F142,F142&lt;&gt;"Select",F142&lt;&gt;"",E142&lt;&gt;""),D142,0)+IF(AND(E143&lt;&gt;"Select",E143&lt;&gt;F143,F143&lt;&gt;"Select",F143&lt;&gt;"",E143&lt;&gt;""),D143,0)</f>
        <v>0</v>
      </c>
      <c r="I141" s="2216">
        <f>IFERROR(IF(H141&gt;=0.75*C141,C141,H141),"")</f>
        <v>0</v>
      </c>
      <c r="J141" s="49"/>
      <c r="K141" s="49"/>
      <c r="L141" s="49"/>
      <c r="M141" s="49"/>
      <c r="N141"/>
    </row>
    <row r="142" spans="1:14" x14ac:dyDescent="0.25">
      <c r="A142" s="49"/>
      <c r="B142" s="2220"/>
      <c r="C142" s="2220"/>
      <c r="D142" s="245"/>
      <c r="E142" s="245" t="s">
        <v>62</v>
      </c>
      <c r="F142" s="1618" t="s">
        <v>62</v>
      </c>
      <c r="G142" s="1619"/>
      <c r="H142" s="2217"/>
      <c r="I142" s="2217"/>
      <c r="J142" s="49"/>
      <c r="K142" s="49"/>
      <c r="L142" s="49"/>
      <c r="M142" s="49"/>
      <c r="N142"/>
    </row>
    <row r="143" spans="1:14" x14ac:dyDescent="0.25">
      <c r="A143" s="49"/>
      <c r="B143" s="2221"/>
      <c r="C143" s="2221"/>
      <c r="D143" s="985"/>
      <c r="E143" s="245" t="s">
        <v>62</v>
      </c>
      <c r="F143" s="1618" t="s">
        <v>62</v>
      </c>
      <c r="G143" s="1619"/>
      <c r="H143" s="2218"/>
      <c r="I143" s="2218"/>
      <c r="J143" s="49"/>
      <c r="K143" s="49"/>
      <c r="L143" s="49"/>
      <c r="M143" s="49"/>
      <c r="N143"/>
    </row>
    <row r="144" spans="1:14" x14ac:dyDescent="0.25">
      <c r="A144" s="49"/>
      <c r="B144" s="2219"/>
      <c r="C144" s="2219"/>
      <c r="D144" s="245"/>
      <c r="E144" s="245" t="s">
        <v>62</v>
      </c>
      <c r="F144" s="1618" t="s">
        <v>62</v>
      </c>
      <c r="G144" s="1619"/>
      <c r="H144" s="2216">
        <f>IF(AND(E144&lt;&gt;"Select",E144&lt;&gt;F144,F144&lt;&gt;"Select",F144&lt;&gt;"",E144&lt;&gt;""),D144,0)+IF(AND(E145&lt;&gt;"Select",E145&lt;&gt;F145,F145&lt;&gt;"Select",F145&lt;&gt;"",E145&lt;&gt;""),D145,0)+IF(AND(E146&lt;&gt;"Select",E146&lt;&gt;F146,F146&lt;&gt;"Select",F146&lt;&gt;"",E146&lt;&gt;""),D146,0)</f>
        <v>0</v>
      </c>
      <c r="I144" s="2216">
        <f>IFERROR(IF(H144&gt;=0.75*C144,C144,H144),"")</f>
        <v>0</v>
      </c>
      <c r="J144" s="49"/>
      <c r="K144" s="49"/>
      <c r="L144" s="49"/>
      <c r="M144" s="49"/>
      <c r="N144"/>
    </row>
    <row r="145" spans="1:15" x14ac:dyDescent="0.25">
      <c r="A145" s="49"/>
      <c r="B145" s="2220"/>
      <c r="C145" s="2220"/>
      <c r="D145" s="245"/>
      <c r="E145" s="245" t="s">
        <v>62</v>
      </c>
      <c r="F145" s="1618" t="s">
        <v>62</v>
      </c>
      <c r="G145" s="1619"/>
      <c r="H145" s="2217"/>
      <c r="I145" s="2217"/>
      <c r="J145" s="49"/>
      <c r="K145" s="49"/>
      <c r="L145" s="49"/>
      <c r="M145" s="49"/>
      <c r="N145"/>
    </row>
    <row r="146" spans="1:15" x14ac:dyDescent="0.25">
      <c r="A146" s="49"/>
      <c r="B146" s="2221"/>
      <c r="C146" s="2221"/>
      <c r="D146" s="985"/>
      <c r="E146" s="245" t="s">
        <v>62</v>
      </c>
      <c r="F146" s="1618" t="s">
        <v>62</v>
      </c>
      <c r="G146" s="1619"/>
      <c r="H146" s="2218"/>
      <c r="I146" s="2218"/>
      <c r="J146" s="49"/>
      <c r="K146" s="49"/>
      <c r="L146" s="49"/>
      <c r="M146" s="49"/>
      <c r="N146"/>
    </row>
    <row r="147" spans="1:15" ht="18" customHeight="1" x14ac:dyDescent="0.25">
      <c r="A147" s="49"/>
      <c r="B147" s="49"/>
      <c r="C147" s="49"/>
      <c r="D147" s="49"/>
      <c r="E147" s="49"/>
      <c r="F147" s="49"/>
      <c r="G147" s="49"/>
      <c r="H147" s="49"/>
      <c r="I147" s="49"/>
      <c r="J147" s="49"/>
      <c r="K147" s="49"/>
      <c r="L147" s="49"/>
      <c r="M147" s="49"/>
      <c r="N147"/>
      <c r="O147"/>
    </row>
    <row r="148" spans="1:15" ht="18" customHeight="1" x14ac:dyDescent="0.25">
      <c r="A148" s="49"/>
      <c r="B148" s="2128" t="s">
        <v>1335</v>
      </c>
      <c r="C148" s="2130"/>
      <c r="D148" s="174">
        <f>SUM(I102:I146)</f>
        <v>0</v>
      </c>
      <c r="E148" s="49"/>
      <c r="F148" s="49"/>
      <c r="G148" s="49"/>
      <c r="H148" s="49"/>
      <c r="I148" s="49"/>
      <c r="J148" s="49"/>
      <c r="K148" s="49"/>
      <c r="L148" s="49"/>
      <c r="M148" s="49"/>
      <c r="N148"/>
      <c r="O148"/>
    </row>
    <row r="149" spans="1:15" ht="18" customHeight="1" x14ac:dyDescent="0.25">
      <c r="A149" s="49"/>
      <c r="B149" s="2128" t="s">
        <v>1959</v>
      </c>
      <c r="C149" s="2130"/>
      <c r="D149" s="70">
        <f>IFERROR(D148/SUM(C102:C146),0)</f>
        <v>0</v>
      </c>
      <c r="E149" s="49"/>
      <c r="F149" s="49"/>
      <c r="G149" s="49"/>
      <c r="H149" s="49"/>
      <c r="I149" s="49"/>
      <c r="J149" s="49"/>
      <c r="K149" s="49"/>
      <c r="L149" s="49"/>
      <c r="M149" s="49"/>
      <c r="N149"/>
      <c r="O149"/>
    </row>
    <row r="150" spans="1:15" ht="18" customHeight="1" x14ac:dyDescent="0.25">
      <c r="A150" s="49"/>
      <c r="B150" s="49"/>
      <c r="C150" s="49"/>
      <c r="D150" s="49"/>
      <c r="E150" s="49"/>
      <c r="F150" s="49"/>
      <c r="G150" s="49"/>
      <c r="H150" s="49"/>
      <c r="I150" s="49"/>
      <c r="J150" s="49"/>
      <c r="K150" s="49"/>
      <c r="L150" s="49"/>
      <c r="M150" s="49"/>
      <c r="N150"/>
      <c r="O150"/>
    </row>
    <row r="151" spans="1:15" ht="17.25" customHeight="1" x14ac:dyDescent="0.25">
      <c r="A151" s="2115" t="s">
        <v>97</v>
      </c>
      <c r="B151" s="2115"/>
      <c r="C151" s="2115"/>
      <c r="D151" s="49"/>
      <c r="E151" s="49"/>
      <c r="F151" s="49"/>
      <c r="G151" s="49"/>
      <c r="H151" s="49"/>
      <c r="I151" s="49"/>
      <c r="J151" s="49"/>
      <c r="K151" s="49"/>
      <c r="L151" s="49"/>
      <c r="M151" s="49"/>
      <c r="N151"/>
      <c r="O151"/>
    </row>
    <row r="152" spans="1:15" x14ac:dyDescent="0.25">
      <c r="A152" s="49"/>
      <c r="B152" s="49"/>
      <c r="C152" s="49"/>
      <c r="D152" s="49"/>
      <c r="E152" s="49"/>
      <c r="F152" s="49"/>
      <c r="G152" s="49"/>
      <c r="H152" s="49"/>
      <c r="I152" s="49"/>
      <c r="J152" s="49"/>
      <c r="K152" s="49"/>
      <c r="L152" s="49"/>
      <c r="M152" s="49"/>
      <c r="N152"/>
      <c r="O152"/>
    </row>
    <row r="153" spans="1:15" ht="21" customHeight="1" x14ac:dyDescent="0.25">
      <c r="A153" s="49"/>
      <c r="B153" s="2093" t="s">
        <v>98</v>
      </c>
      <c r="C153" s="2094"/>
      <c r="D153" s="2094"/>
      <c r="E153" s="2094"/>
      <c r="F153" s="2094"/>
      <c r="G153" s="256" t="s">
        <v>1297</v>
      </c>
      <c r="H153" s="2095" t="s">
        <v>1298</v>
      </c>
      <c r="I153" s="2136"/>
      <c r="J153" s="49"/>
      <c r="K153" s="49"/>
      <c r="L153" s="49"/>
      <c r="M153" s="49"/>
      <c r="N153"/>
      <c r="O153"/>
    </row>
    <row r="154" spans="1:15" ht="27" customHeight="1" x14ac:dyDescent="0.25">
      <c r="A154" s="49"/>
      <c r="B154" s="1644" t="str">
        <f>Submittals!H111</f>
        <v>Select the Submission Stage in Project Information</v>
      </c>
      <c r="C154" s="1645"/>
      <c r="D154" s="1645"/>
      <c r="E154" s="1645"/>
      <c r="F154" s="1645"/>
      <c r="G154" s="986" t="s">
        <v>62</v>
      </c>
      <c r="H154" s="1625"/>
      <c r="I154" s="1626"/>
      <c r="J154" s="49"/>
      <c r="K154" s="49"/>
      <c r="L154" s="49"/>
      <c r="M154" s="49"/>
      <c r="N154" s="37" t="str">
        <f>IF(OR(B154="/",B154="No evidence required at this submission stage"),"Yes",IF(G154="Submitted","Yes","No"))</f>
        <v>No</v>
      </c>
      <c r="O154"/>
    </row>
    <row r="155" spans="1:15" ht="27" customHeight="1" x14ac:dyDescent="0.25">
      <c r="A155" s="49"/>
      <c r="B155" s="1644" t="str">
        <f>Submittals!H112</f>
        <v>Select the Submission Stage in Project Information</v>
      </c>
      <c r="C155" s="1645"/>
      <c r="D155" s="1645"/>
      <c r="E155" s="1645"/>
      <c r="F155" s="1645"/>
      <c r="G155" s="1287" t="s">
        <v>62</v>
      </c>
      <c r="H155" s="1625"/>
      <c r="I155" s="1626"/>
      <c r="J155" s="49"/>
      <c r="K155" s="49"/>
      <c r="L155" s="49"/>
      <c r="M155" s="49"/>
      <c r="N155" s="37" t="str">
        <f>IF(OR(B155="/",B155="No evidence required at this submission stage"),"Yes",IF(G155="Submitted","Yes","No"))</f>
        <v>No</v>
      </c>
      <c r="O155"/>
    </row>
    <row r="156" spans="1:15" ht="33" customHeight="1" x14ac:dyDescent="0.25">
      <c r="A156" s="49"/>
      <c r="B156" s="1644" t="str">
        <f>Submittals!H113</f>
        <v>Select the Submission Stage in Project Information</v>
      </c>
      <c r="C156" s="1645"/>
      <c r="D156" s="1645"/>
      <c r="E156" s="1645"/>
      <c r="F156" s="1645"/>
      <c r="G156" s="1286" t="s">
        <v>62</v>
      </c>
      <c r="H156" s="1625"/>
      <c r="I156" s="1626"/>
      <c r="J156" s="49"/>
      <c r="K156" s="49"/>
      <c r="L156" s="49"/>
      <c r="M156" s="49"/>
      <c r="N156" s="37" t="str">
        <f>IF(OR(B156="/",B156="No evidence required at this submission stage"),"Yes",IF(OR(G156="Already approved at PC",G156="Submitted"),"Yes","No"))</f>
        <v>No</v>
      </c>
    </row>
    <row r="157" spans="1:15" s="379" customFormat="1" ht="19.5" customHeight="1" x14ac:dyDescent="0.25">
      <c r="A157" s="49"/>
      <c r="B157" s="49"/>
      <c r="C157" s="49"/>
      <c r="D157" s="49"/>
      <c r="E157" s="49"/>
      <c r="F157" s="49"/>
      <c r="G157" s="49"/>
      <c r="H157" s="49"/>
      <c r="I157" s="49"/>
      <c r="J157" s="49"/>
      <c r="K157" s="49"/>
      <c r="L157" s="49"/>
      <c r="M157" s="49"/>
      <c r="N157"/>
      <c r="O157"/>
    </row>
    <row r="158" spans="1:15" ht="17.25" customHeight="1" x14ac:dyDescent="0.25">
      <c r="A158" s="2115" t="s">
        <v>8</v>
      </c>
      <c r="B158" s="2115"/>
      <c r="C158" s="2115"/>
      <c r="D158" s="49"/>
      <c r="E158" s="49"/>
      <c r="F158" s="49"/>
      <c r="G158" s="49"/>
      <c r="H158" s="49"/>
      <c r="I158" s="49"/>
      <c r="J158" s="49"/>
      <c r="K158" s="49"/>
      <c r="L158" s="49"/>
      <c r="M158" s="49"/>
      <c r="N158"/>
      <c r="O158"/>
    </row>
    <row r="159" spans="1:15" x14ac:dyDescent="0.25">
      <c r="A159" s="49"/>
      <c r="B159" s="49"/>
      <c r="C159" s="49"/>
      <c r="D159" s="49"/>
      <c r="E159" s="49"/>
      <c r="F159" s="49"/>
      <c r="G159" s="49"/>
      <c r="H159" s="49"/>
      <c r="I159" s="49"/>
      <c r="J159" s="49"/>
      <c r="K159" s="49"/>
      <c r="L159" s="49"/>
      <c r="M159" s="49"/>
      <c r="N159"/>
      <c r="O159"/>
    </row>
    <row r="160" spans="1:15" ht="18" customHeight="1" x14ac:dyDescent="0.25">
      <c r="A160" s="49"/>
      <c r="B160" s="145" t="s">
        <v>19</v>
      </c>
      <c r="C160" s="8">
        <f>IF(D149&gt;=0.6,1,0)</f>
        <v>0</v>
      </c>
      <c r="D160" s="49"/>
      <c r="E160" s="49"/>
      <c r="F160" s="49"/>
      <c r="G160" s="49"/>
      <c r="H160" s="49"/>
      <c r="I160" s="49"/>
      <c r="J160" s="49"/>
      <c r="K160" s="49"/>
      <c r="L160" s="49"/>
      <c r="M160" s="49"/>
      <c r="N160"/>
      <c r="O160"/>
    </row>
    <row r="161" spans="1:15" ht="18" customHeight="1" x14ac:dyDescent="0.25">
      <c r="A161" s="49"/>
      <c r="B161" s="146" t="s">
        <v>151</v>
      </c>
      <c r="C161" s="7" t="str">
        <f>IF(AND(COUNTIF(N154:N156,"Yes")=3,C160&gt;0),"Yes","No")</f>
        <v>No</v>
      </c>
      <c r="D161" s="49"/>
      <c r="E161" s="49"/>
      <c r="F161" s="49"/>
      <c r="G161" s="49"/>
      <c r="H161" s="49"/>
      <c r="I161" s="49"/>
      <c r="J161" s="49"/>
      <c r="K161" s="49"/>
      <c r="L161" s="49"/>
      <c r="M161" s="49"/>
      <c r="N161"/>
      <c r="O161"/>
    </row>
    <row r="162" spans="1:15" ht="18.75" customHeight="1" x14ac:dyDescent="0.25">
      <c r="A162" s="49"/>
      <c r="B162" s="49"/>
      <c r="C162" s="49"/>
      <c r="D162" s="49"/>
      <c r="E162" s="49"/>
      <c r="F162" s="49"/>
      <c r="G162" s="49"/>
      <c r="H162" s="49"/>
      <c r="I162" s="49"/>
      <c r="J162" s="49"/>
      <c r="K162" s="49"/>
      <c r="L162" s="49"/>
      <c r="M162" s="49"/>
      <c r="N162"/>
      <c r="O162"/>
    </row>
    <row r="163" spans="1:15" hidden="1" x14ac:dyDescent="0.25">
      <c r="A163" s="49"/>
      <c r="B163" s="49"/>
      <c r="C163" s="49"/>
      <c r="D163" s="49"/>
      <c r="E163" s="49"/>
      <c r="F163" s="49"/>
      <c r="G163" s="49"/>
      <c r="H163" s="49"/>
      <c r="I163" s="49"/>
      <c r="J163" s="49"/>
      <c r="K163" s="49"/>
      <c r="L163" s="49"/>
      <c r="M163" s="49"/>
      <c r="N163"/>
      <c r="O163"/>
    </row>
    <row r="164" spans="1:15" ht="15" hidden="1" customHeight="1" x14ac:dyDescent="0.25"/>
    <row r="165" spans="1:15" ht="15" hidden="1" customHeight="1" x14ac:dyDescent="0.25"/>
    <row r="166" spans="1:15" ht="15" hidden="1" customHeight="1" x14ac:dyDescent="0.25"/>
    <row r="167" spans="1:15" ht="15" hidden="1" customHeight="1" x14ac:dyDescent="0.25"/>
    <row r="168" spans="1:15" ht="15" hidden="1" customHeight="1" x14ac:dyDescent="0.25"/>
    <row r="169" spans="1:15" ht="15" hidden="1" customHeight="1" x14ac:dyDescent="0.25"/>
    <row r="170" spans="1:15" ht="15" hidden="1" customHeight="1" x14ac:dyDescent="0.25"/>
    <row r="171" spans="1:15" ht="15" hidden="1" customHeight="1" x14ac:dyDescent="0.25"/>
    <row r="172" spans="1:15" ht="15" hidden="1" customHeight="1" x14ac:dyDescent="0.25"/>
    <row r="173" spans="1:15" ht="15" hidden="1" customHeight="1" x14ac:dyDescent="0.25"/>
    <row r="174" spans="1:15" ht="15" hidden="1" customHeight="1" x14ac:dyDescent="0.25"/>
    <row r="175" spans="1:15" ht="15" hidden="1" customHeight="1" x14ac:dyDescent="0.25"/>
    <row r="176" spans="1:15"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sheetData>
  <sheetProtection algorithmName="SHA-512" hashValue="8IOhDPt3DI3h3WahcsTO/RiHDy5xLMk5wRI18D7DFBgoAjO6bdl1yiPum5Qq0MGmQ0pfx9PqL61QrFvkzFb6fw==" saltValue="O6/Wej2yDmwatFS26Wg9SA==" spinCount="100000" sheet="1" objects="1" scenarios="1"/>
  <mergeCells count="167">
    <mergeCell ref="B24:J24"/>
    <mergeCell ref="B25:J25"/>
    <mergeCell ref="B156:F156"/>
    <mergeCell ref="H156:I156"/>
    <mergeCell ref="B71:F71"/>
    <mergeCell ref="H71:I71"/>
    <mergeCell ref="B135:B137"/>
    <mergeCell ref="C135:C137"/>
    <mergeCell ref="F135:G135"/>
    <mergeCell ref="H135:H137"/>
    <mergeCell ref="I135:I137"/>
    <mergeCell ref="F136:G136"/>
    <mergeCell ref="F137:G137"/>
    <mergeCell ref="B129:B131"/>
    <mergeCell ref="C129:C131"/>
    <mergeCell ref="F129:G129"/>
    <mergeCell ref="H129:H131"/>
    <mergeCell ref="I129:I131"/>
    <mergeCell ref="F130:G130"/>
    <mergeCell ref="F131:G131"/>
    <mergeCell ref="B132:B134"/>
    <mergeCell ref="C132:C134"/>
    <mergeCell ref="F132:G132"/>
    <mergeCell ref="H132:H134"/>
    <mergeCell ref="I132:I134"/>
    <mergeCell ref="F133:G133"/>
    <mergeCell ref="F134:G134"/>
    <mergeCell ref="C123:C125"/>
    <mergeCell ref="F123:G123"/>
    <mergeCell ref="H123:H125"/>
    <mergeCell ref="I123:I125"/>
    <mergeCell ref="F124:G124"/>
    <mergeCell ref="F125:G125"/>
    <mergeCell ref="I126:I128"/>
    <mergeCell ref="F127:G127"/>
    <mergeCell ref="F128:G128"/>
    <mergeCell ref="B85:H85"/>
    <mergeCell ref="B95:L96"/>
    <mergeCell ref="I114:I116"/>
    <mergeCell ref="I117:I119"/>
    <mergeCell ref="I108:I110"/>
    <mergeCell ref="I111:I113"/>
    <mergeCell ref="F103:G103"/>
    <mergeCell ref="F106:G106"/>
    <mergeCell ref="B114:B116"/>
    <mergeCell ref="C114:C116"/>
    <mergeCell ref="H114:H116"/>
    <mergeCell ref="B148:C148"/>
    <mergeCell ref="B149:C149"/>
    <mergeCell ref="F139:G139"/>
    <mergeCell ref="F140:G140"/>
    <mergeCell ref="B87:H87"/>
    <mergeCell ref="B86:H86"/>
    <mergeCell ref="B88:H88"/>
    <mergeCell ref="B89:H89"/>
    <mergeCell ref="B144:B146"/>
    <mergeCell ref="C144:C146"/>
    <mergeCell ref="H144:H146"/>
    <mergeCell ref="B117:B119"/>
    <mergeCell ref="C117:C119"/>
    <mergeCell ref="H117:H119"/>
    <mergeCell ref="B108:B110"/>
    <mergeCell ref="C108:C110"/>
    <mergeCell ref="H108:H110"/>
    <mergeCell ref="B111:B113"/>
    <mergeCell ref="C111:C113"/>
    <mergeCell ref="H111:H113"/>
    <mergeCell ref="B105:B107"/>
    <mergeCell ref="C105:C107"/>
    <mergeCell ref="H102:H104"/>
    <mergeCell ref="H105:H107"/>
    <mergeCell ref="I144:I146"/>
    <mergeCell ref="B120:B122"/>
    <mergeCell ref="C120:C122"/>
    <mergeCell ref="F120:G120"/>
    <mergeCell ref="H120:H122"/>
    <mergeCell ref="I120:I122"/>
    <mergeCell ref="F121:G121"/>
    <mergeCell ref="F122:G122"/>
    <mergeCell ref="B138:B140"/>
    <mergeCell ref="C138:C140"/>
    <mergeCell ref="B123:B125"/>
    <mergeCell ref="F138:G138"/>
    <mergeCell ref="H138:H140"/>
    <mergeCell ref="I138:I140"/>
    <mergeCell ref="B141:B143"/>
    <mergeCell ref="C141:C143"/>
    <mergeCell ref="H141:H143"/>
    <mergeCell ref="I141:I143"/>
    <mergeCell ref="F142:G142"/>
    <mergeCell ref="F143:G143"/>
    <mergeCell ref="B126:B128"/>
    <mergeCell ref="C126:C128"/>
    <mergeCell ref="F126:G126"/>
    <mergeCell ref="H126:H128"/>
    <mergeCell ref="H155:I155"/>
    <mergeCell ref="B100:B101"/>
    <mergeCell ref="C100:C101"/>
    <mergeCell ref="D100:D101"/>
    <mergeCell ref="E100:E101"/>
    <mergeCell ref="F100:G101"/>
    <mergeCell ref="F102:G102"/>
    <mergeCell ref="F104:G104"/>
    <mergeCell ref="F105:G105"/>
    <mergeCell ref="F107:G107"/>
    <mergeCell ref="F108:G108"/>
    <mergeCell ref="F109:G109"/>
    <mergeCell ref="F110:G110"/>
    <mergeCell ref="H153:I153"/>
    <mergeCell ref="H154:I154"/>
    <mergeCell ref="F144:G144"/>
    <mergeCell ref="F145:G145"/>
    <mergeCell ref="F146:G146"/>
    <mergeCell ref="I100:I101"/>
    <mergeCell ref="I102:I104"/>
    <mergeCell ref="I105:I107"/>
    <mergeCell ref="H100:H101"/>
    <mergeCell ref="B102:B104"/>
    <mergeCell ref="C102:C104"/>
    <mergeCell ref="A158:C158"/>
    <mergeCell ref="A35:C35"/>
    <mergeCell ref="A18:C18"/>
    <mergeCell ref="A67:C67"/>
    <mergeCell ref="A74:C74"/>
    <mergeCell ref="A91:C91"/>
    <mergeCell ref="A81:C81"/>
    <mergeCell ref="A151:C151"/>
    <mergeCell ref="B153:F153"/>
    <mergeCell ref="B69:F69"/>
    <mergeCell ref="B70:F70"/>
    <mergeCell ref="B72:F72"/>
    <mergeCell ref="B155:F155"/>
    <mergeCell ref="F111:G111"/>
    <mergeCell ref="F112:G112"/>
    <mergeCell ref="B154:F154"/>
    <mergeCell ref="F113:G113"/>
    <mergeCell ref="F114:G114"/>
    <mergeCell ref="F115:G115"/>
    <mergeCell ref="F116:G116"/>
    <mergeCell ref="F117:G117"/>
    <mergeCell ref="F118:G118"/>
    <mergeCell ref="F119:G119"/>
    <mergeCell ref="F141:G141"/>
    <mergeCell ref="A1:M1"/>
    <mergeCell ref="A9:M9"/>
    <mergeCell ref="A16:M16"/>
    <mergeCell ref="A79:M79"/>
    <mergeCell ref="H2:I4"/>
    <mergeCell ref="B14:F14"/>
    <mergeCell ref="A5:M7"/>
    <mergeCell ref="B11:F11"/>
    <mergeCell ref="B12:F12"/>
    <mergeCell ref="B13:F13"/>
    <mergeCell ref="B41:B42"/>
    <mergeCell ref="C41:C42"/>
    <mergeCell ref="D41:D42"/>
    <mergeCell ref="E41:E42"/>
    <mergeCell ref="H72:I72"/>
    <mergeCell ref="H69:I69"/>
    <mergeCell ref="H70:I70"/>
    <mergeCell ref="B64:C64"/>
    <mergeCell ref="B65:C65"/>
    <mergeCell ref="B33:J33"/>
    <mergeCell ref="B32:J32"/>
    <mergeCell ref="B28:J28"/>
    <mergeCell ref="B29:J29"/>
    <mergeCell ref="B23:J23"/>
  </mergeCells>
  <conditionalFormatting sqref="G154:I154">
    <cfRule type="expression" dxfId="276" priority="29">
      <formula>$B154="/"</formula>
    </cfRule>
    <cfRule type="expression" dxfId="275" priority="30">
      <formula>$B154="No evidence required at this submission stage"</formula>
    </cfRule>
  </conditionalFormatting>
  <conditionalFormatting sqref="G70:I70 H72:I72">
    <cfRule type="expression" dxfId="274" priority="22">
      <formula>$B70="/"</formula>
    </cfRule>
    <cfRule type="expression" dxfId="273" priority="23">
      <formula>$B70="No evidence required at this submission stage"</formula>
    </cfRule>
  </conditionalFormatting>
  <conditionalFormatting sqref="H71:I71">
    <cfRule type="expression" dxfId="272" priority="19">
      <formula>$B71="/"</formula>
    </cfRule>
    <cfRule type="expression" dxfId="271" priority="20">
      <formula>$B71="No evidence required at this submission stage"</formula>
    </cfRule>
  </conditionalFormatting>
  <conditionalFormatting sqref="G71">
    <cfRule type="expression" dxfId="270" priority="17">
      <formula>$B71="/"</formula>
    </cfRule>
    <cfRule type="expression" dxfId="269" priority="18">
      <formula>$B71="No evidence required at this submission stage"</formula>
    </cfRule>
  </conditionalFormatting>
  <conditionalFormatting sqref="G72">
    <cfRule type="expression" dxfId="268" priority="15">
      <formula>$B72="/"</formula>
    </cfRule>
    <cfRule type="expression" dxfId="267" priority="16">
      <formula>$B72="No evidence required at this submission stage"</formula>
    </cfRule>
  </conditionalFormatting>
  <conditionalFormatting sqref="H155:I155">
    <cfRule type="expression" dxfId="266" priority="13">
      <formula>$B155="/"</formula>
    </cfRule>
    <cfRule type="expression" dxfId="265" priority="14">
      <formula>$B155="No evidence required at this submission stage"</formula>
    </cfRule>
  </conditionalFormatting>
  <conditionalFormatting sqref="G156">
    <cfRule type="expression" dxfId="264" priority="3">
      <formula>$B156="/"</formula>
    </cfRule>
    <cfRule type="expression" dxfId="263" priority="4">
      <formula>$B156="No evidence required at this submission stage"</formula>
    </cfRule>
  </conditionalFormatting>
  <conditionalFormatting sqref="G155">
    <cfRule type="expression" dxfId="262" priority="1">
      <formula>$B155="/"</formula>
    </cfRule>
    <cfRule type="expression" dxfId="261" priority="2">
      <formula>$B155="No evidence required at this submission stage"</formula>
    </cfRule>
  </conditionalFormatting>
  <conditionalFormatting sqref="H156:I156">
    <cfRule type="expression" dxfId="260" priority="5">
      <formula>$B156="/"</formula>
    </cfRule>
    <cfRule type="expression" dxfId="259" priority="6">
      <formula>$B156="No evidence required at this submission stage"</formula>
    </cfRule>
  </conditionalFormatting>
  <dataValidations count="3">
    <dataValidation type="list" allowBlank="1" showInputMessage="1" showErrorMessage="1" sqref="G70 G154:G155">
      <formula1>"Select,Submitted,Not submitted"</formula1>
    </dataValidation>
    <dataValidation type="list" allowBlank="1" showInputMessage="1" showErrorMessage="1" sqref="E102:F146">
      <formula1>"Select,Unobstructed for 8 meters,includes vegetation/sky/fauna,includes movement,multiple lines of sight"</formula1>
    </dataValidation>
    <dataValidation type="list" allowBlank="1" showInputMessage="1" showErrorMessage="1" sqref="G71:G72 G156">
      <formula1>Sub_FC</formula1>
    </dataValidation>
  </dataValidations>
  <hyperlinks>
    <hyperlink ref="J4" location="'H-2 CO2 Monitoring'!B3" tooltip="H-2" display="H-2"/>
    <hyperlink ref="J3" location="'H-1 Fresh Air Supply'!B3" tooltip="H-1" display="H-1"/>
    <hyperlink ref="J2" location="'H-PR-1 Indoor Smoking'!B3" tooltip="H-PR-1" display="H-PR-1"/>
    <hyperlink ref="M4" location="'H-12 Post-occupancy Comfort'!B3" tooltip="H-12" display="H-12"/>
    <hyperlink ref="L4" location="'H-9 Lighting Comfort'!B3" tooltip="H-9" display="H-9"/>
    <hyperlink ref="K3" location="'H-4 Removal of pollutants'!B3" tooltip="H-4" display="H-4"/>
    <hyperlink ref="M2" location="'H-10 Thermal Comfort'!B3" tooltip="H-10" display="H-10"/>
    <hyperlink ref="L3" location="'H-7 Daylighting'!B3" tooltip="H-7" display="H-7"/>
    <hyperlink ref="L2" location="'H-6 Green Cleaning'!B3" tooltip="H-6" display="H-6"/>
    <hyperlink ref="K4" location="'H-5 Interior Plants'!B3" tooltip="H-5" display="H-5"/>
    <hyperlink ref="K2" location="'H-3 Low-VOC Emissions '!D3" tooltip="H-3" display="H-3"/>
    <hyperlink ref="M3" location="'H-11 Acoustic Comfort'!B3" tooltip="H-11" display="H-11"/>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204"/>
  <sheetViews>
    <sheetView showGridLines="0" showRowColHeaders="0" zoomScaleNormal="100" workbookViewId="0">
      <pane ySplit="6" topLeftCell="A7" activePane="bottomLeft" state="frozen"/>
      <selection pane="bottomLeft" activeCell="N3" sqref="N3"/>
    </sheetView>
  </sheetViews>
  <sheetFormatPr defaultColWidth="0" defaultRowHeight="15" zeroHeight="1" x14ac:dyDescent="0.25"/>
  <cols>
    <col min="1" max="1" width="3.7109375" customWidth="1"/>
    <col min="2" max="3" width="10.7109375" customWidth="1"/>
    <col min="4" max="9" width="13" customWidth="1"/>
    <col min="10" max="10" width="10.7109375" customWidth="1"/>
    <col min="11" max="11" width="13.28515625" customWidth="1"/>
    <col min="12" max="12" width="17.5703125" customWidth="1"/>
    <col min="13" max="13" width="16" customWidth="1"/>
    <col min="14" max="14" width="10.7109375" customWidth="1"/>
    <col min="15" max="15" width="8.7109375" customWidth="1"/>
    <col min="16" max="16384" width="9.140625" hidden="1"/>
  </cols>
  <sheetData>
    <row r="1" spans="1:15" ht="30" customHeight="1" x14ac:dyDescent="0.25">
      <c r="A1" s="1386" t="s">
        <v>728</v>
      </c>
      <c r="B1" s="1387"/>
      <c r="C1" s="1387"/>
      <c r="D1" s="1387"/>
      <c r="E1" s="1387"/>
      <c r="F1" s="1387"/>
      <c r="G1" s="1387"/>
      <c r="H1" s="1387"/>
      <c r="I1" s="1387"/>
      <c r="J1" s="1383" t="s">
        <v>727</v>
      </c>
      <c r="K1" s="1383"/>
      <c r="L1" s="1383"/>
      <c r="M1" s="1383"/>
      <c r="N1" s="1383"/>
      <c r="O1" s="1383"/>
    </row>
    <row r="2" spans="1:15" ht="18" customHeight="1" x14ac:dyDescent="0.3">
      <c r="A2" s="736"/>
      <c r="B2" s="1385" t="s">
        <v>732</v>
      </c>
      <c r="C2" s="1385"/>
      <c r="D2" s="1385" t="s">
        <v>733</v>
      </c>
      <c r="E2" s="1385"/>
      <c r="F2" s="736"/>
      <c r="G2" s="738"/>
      <c r="H2" s="739"/>
      <c r="I2" s="739"/>
      <c r="J2" s="1384"/>
      <c r="K2" s="1384"/>
      <c r="L2" s="737"/>
      <c r="M2" s="737"/>
      <c r="N2" s="736"/>
      <c r="O2" s="736"/>
    </row>
    <row r="3" spans="1:15" ht="18" customHeight="1" x14ac:dyDescent="0.3">
      <c r="A3" s="736"/>
      <c r="B3" s="1385" t="s">
        <v>729</v>
      </c>
      <c r="C3" s="1385"/>
      <c r="D3" s="1385" t="s">
        <v>734</v>
      </c>
      <c r="E3" s="1385"/>
      <c r="F3" s="736"/>
      <c r="G3" s="738"/>
      <c r="H3" s="739"/>
      <c r="I3" s="739"/>
      <c r="J3" s="740"/>
      <c r="K3" s="740"/>
      <c r="L3" s="737"/>
      <c r="M3" s="737"/>
      <c r="N3" s="736"/>
      <c r="O3" s="736"/>
    </row>
    <row r="4" spans="1:15" ht="18" customHeight="1" x14ac:dyDescent="0.3">
      <c r="A4" s="736"/>
      <c r="B4" s="1385" t="s">
        <v>731</v>
      </c>
      <c r="C4" s="1385"/>
      <c r="D4" s="1385" t="s">
        <v>735</v>
      </c>
      <c r="E4" s="1385"/>
      <c r="F4" s="736"/>
      <c r="G4" s="738"/>
      <c r="H4" s="739"/>
      <c r="I4" s="739"/>
      <c r="J4" s="740"/>
      <c r="K4" s="740"/>
      <c r="L4" s="736"/>
      <c r="M4" s="736"/>
      <c r="N4" s="736"/>
      <c r="O4" s="736"/>
    </row>
    <row r="5" spans="1:15" ht="18" customHeight="1" x14ac:dyDescent="0.3">
      <c r="A5" s="736"/>
      <c r="B5" s="1385" t="s">
        <v>730</v>
      </c>
      <c r="C5" s="1385"/>
      <c r="D5" s="1385" t="s">
        <v>769</v>
      </c>
      <c r="E5" s="1385"/>
      <c r="F5" s="736"/>
      <c r="G5" s="738"/>
      <c r="H5" s="739"/>
      <c r="I5" s="739"/>
      <c r="J5" s="736"/>
      <c r="K5" s="736"/>
      <c r="L5" s="736"/>
      <c r="M5" s="736"/>
      <c r="N5" s="736"/>
      <c r="O5" s="736"/>
    </row>
    <row r="6" spans="1:15" ht="7.5" customHeight="1" x14ac:dyDescent="0.25">
      <c r="A6" s="741"/>
      <c r="B6" s="741"/>
      <c r="C6" s="741"/>
      <c r="D6" s="741"/>
      <c r="E6" s="738"/>
      <c r="F6" s="738"/>
      <c r="G6" s="738"/>
      <c r="H6" s="739"/>
      <c r="I6" s="739"/>
      <c r="J6" s="739"/>
      <c r="K6" s="739"/>
      <c r="L6" s="742"/>
      <c r="M6" s="742"/>
      <c r="N6" s="742"/>
      <c r="O6" s="742"/>
    </row>
    <row r="7" spans="1:15" ht="12" customHeight="1" x14ac:dyDescent="0.25">
      <c r="A7" s="379"/>
      <c r="B7" s="464"/>
      <c r="C7" s="465"/>
      <c r="D7" s="465"/>
      <c r="E7" s="465"/>
      <c r="F7" s="465"/>
      <c r="G7" s="465"/>
      <c r="H7" s="465"/>
      <c r="I7" s="465"/>
      <c r="J7" s="465"/>
      <c r="K7" s="465"/>
      <c r="L7" s="379"/>
      <c r="M7" s="379"/>
      <c r="N7" s="379"/>
      <c r="O7" s="379"/>
    </row>
    <row r="8" spans="1:15" ht="30.75" customHeight="1" x14ac:dyDescent="0.25">
      <c r="A8" s="379"/>
      <c r="B8" s="1382" t="s">
        <v>2307</v>
      </c>
      <c r="C8" s="1382"/>
      <c r="D8" s="1382"/>
      <c r="E8" s="1382"/>
      <c r="F8" s="1382"/>
      <c r="G8" s="1382"/>
      <c r="H8" s="1382"/>
      <c r="I8" s="1382"/>
      <c r="J8" s="1382"/>
      <c r="K8" s="1382"/>
      <c r="L8" s="1382"/>
      <c r="M8" s="1382"/>
      <c r="N8" s="1382"/>
      <c r="O8" s="379"/>
    </row>
    <row r="9" spans="1:15" ht="9" customHeight="1" x14ac:dyDescent="0.25">
      <c r="A9" s="379"/>
      <c r="B9" s="466"/>
      <c r="C9" s="466"/>
      <c r="D9" s="466"/>
      <c r="E9" s="466"/>
      <c r="F9" s="466"/>
      <c r="G9" s="466"/>
      <c r="H9" s="466"/>
      <c r="I9" s="466"/>
      <c r="J9" s="466"/>
      <c r="K9" s="466"/>
      <c r="L9" s="466"/>
      <c r="M9" s="466"/>
      <c r="N9" s="466"/>
      <c r="O9" s="379"/>
    </row>
    <row r="10" spans="1:15" ht="19.5" customHeight="1" x14ac:dyDescent="0.25">
      <c r="A10" s="379"/>
      <c r="B10" s="1377" t="s">
        <v>795</v>
      </c>
      <c r="C10" s="1377"/>
      <c r="D10" s="1377"/>
      <c r="E10" s="1377"/>
      <c r="F10" s="467"/>
      <c r="G10" s="467"/>
      <c r="H10" s="467"/>
      <c r="I10" s="467"/>
      <c r="J10" s="467"/>
      <c r="K10" s="467"/>
      <c r="L10" s="467"/>
      <c r="M10" s="467"/>
      <c r="N10" s="467"/>
      <c r="O10" s="379"/>
    </row>
    <row r="11" spans="1:15" ht="7.5" customHeight="1" x14ac:dyDescent="0.25">
      <c r="A11" s="379"/>
      <c r="B11" s="468"/>
      <c r="C11" s="468"/>
      <c r="D11" s="468"/>
      <c r="E11" s="468"/>
      <c r="F11" s="467"/>
      <c r="G11" s="467"/>
      <c r="H11" s="467"/>
      <c r="I11" s="467"/>
      <c r="J11" s="467"/>
      <c r="K11" s="467"/>
      <c r="L11" s="467"/>
      <c r="M11" s="467"/>
      <c r="N11" s="467"/>
      <c r="O11" s="379"/>
    </row>
    <row r="12" spans="1:15" ht="15" customHeight="1" x14ac:dyDescent="0.25">
      <c r="A12" s="379"/>
      <c r="B12" s="1380" t="s">
        <v>2009</v>
      </c>
      <c r="C12" s="1380"/>
      <c r="D12" s="1380"/>
      <c r="E12" s="1380"/>
      <c r="F12" s="1380"/>
      <c r="G12" s="1380"/>
      <c r="H12" s="1380"/>
      <c r="I12" s="1380"/>
      <c r="J12" s="1380"/>
      <c r="K12" s="1380"/>
      <c r="L12" s="1380"/>
      <c r="M12" s="1380"/>
      <c r="N12" s="1380"/>
      <c r="O12" s="379"/>
    </row>
    <row r="13" spans="1:15" x14ac:dyDescent="0.25">
      <c r="A13" s="379"/>
      <c r="B13" s="1381" t="s">
        <v>689</v>
      </c>
      <c r="C13" s="1374"/>
      <c r="D13" s="1374"/>
      <c r="E13" s="1374"/>
      <c r="F13" s="1374"/>
      <c r="G13" s="1374"/>
      <c r="H13" s="1374"/>
      <c r="I13" s="1374"/>
      <c r="J13" s="1374"/>
      <c r="K13" s="1374"/>
      <c r="L13" s="1374"/>
      <c r="M13" s="1374"/>
      <c r="N13" s="1374"/>
      <c r="O13" s="379"/>
    </row>
    <row r="14" spans="1:15" ht="15" customHeight="1" x14ac:dyDescent="0.25">
      <c r="A14" s="379"/>
      <c r="B14" s="1374" t="s">
        <v>690</v>
      </c>
      <c r="C14" s="1374"/>
      <c r="D14" s="1374"/>
      <c r="E14" s="1374"/>
      <c r="F14" s="1374"/>
      <c r="G14" s="1374"/>
      <c r="H14" s="1374"/>
      <c r="I14" s="1374"/>
      <c r="J14" s="1374"/>
      <c r="K14" s="1374"/>
      <c r="L14" s="1374"/>
      <c r="M14" s="1374"/>
      <c r="N14" s="1374"/>
      <c r="O14" s="379"/>
    </row>
    <row r="15" spans="1:15" ht="15" customHeight="1" x14ac:dyDescent="0.25">
      <c r="A15" s="379"/>
      <c r="B15" s="1374" t="s">
        <v>691</v>
      </c>
      <c r="C15" s="1374"/>
      <c r="D15" s="1374"/>
      <c r="E15" s="1374"/>
      <c r="F15" s="1374"/>
      <c r="G15" s="1374"/>
      <c r="H15" s="1374"/>
      <c r="I15" s="1374"/>
      <c r="J15" s="1374"/>
      <c r="K15" s="1374"/>
      <c r="L15" s="1374"/>
      <c r="M15" s="1374"/>
      <c r="N15" s="1374"/>
      <c r="O15" s="379"/>
    </row>
    <row r="16" spans="1:15" ht="15" customHeight="1" x14ac:dyDescent="0.25">
      <c r="A16" s="379"/>
      <c r="B16" s="1374" t="s">
        <v>693</v>
      </c>
      <c r="C16" s="1374"/>
      <c r="D16" s="1374"/>
      <c r="E16" s="1374"/>
      <c r="F16" s="1374"/>
      <c r="G16" s="1374"/>
      <c r="H16" s="1374"/>
      <c r="I16" s="1374"/>
      <c r="J16" s="1374"/>
      <c r="K16" s="1374"/>
      <c r="L16" s="1374"/>
      <c r="M16" s="1374"/>
      <c r="N16" s="1374"/>
      <c r="O16" s="379"/>
    </row>
    <row r="17" spans="1:15" ht="15" customHeight="1" x14ac:dyDescent="0.25">
      <c r="A17" s="379"/>
      <c r="B17" s="1374" t="s">
        <v>692</v>
      </c>
      <c r="C17" s="1374"/>
      <c r="D17" s="1374"/>
      <c r="E17" s="1374"/>
      <c r="F17" s="1374"/>
      <c r="G17" s="1374"/>
      <c r="H17" s="1374"/>
      <c r="I17" s="1374"/>
      <c r="J17" s="1374"/>
      <c r="K17" s="1374"/>
      <c r="L17" s="1374"/>
      <c r="M17" s="1374"/>
      <c r="N17" s="1374"/>
      <c r="O17" s="379"/>
    </row>
    <row r="18" spans="1:15" ht="15" customHeight="1" x14ac:dyDescent="0.25">
      <c r="A18" s="379"/>
      <c r="B18" s="1374" t="s">
        <v>1752</v>
      </c>
      <c r="C18" s="1374"/>
      <c r="D18" s="1374"/>
      <c r="E18" s="1374"/>
      <c r="F18" s="1374"/>
      <c r="G18" s="1374"/>
      <c r="H18" s="1374"/>
      <c r="I18" s="1374"/>
      <c r="J18" s="1374"/>
      <c r="K18" s="1374"/>
      <c r="L18" s="1374"/>
      <c r="M18" s="1374"/>
      <c r="N18" s="1374"/>
      <c r="O18" s="379"/>
    </row>
    <row r="19" spans="1:15" x14ac:dyDescent="0.25">
      <c r="A19" s="379"/>
      <c r="B19" s="1375" t="s">
        <v>290</v>
      </c>
      <c r="C19" s="1375"/>
      <c r="D19" s="1375"/>
      <c r="E19" s="1375"/>
      <c r="F19" s="1375"/>
      <c r="G19" s="1375"/>
      <c r="H19" s="1375"/>
      <c r="I19" s="1375"/>
      <c r="J19" s="1375"/>
      <c r="K19" s="1375"/>
      <c r="L19" s="1375"/>
      <c r="M19" s="1375"/>
      <c r="N19" s="466"/>
      <c r="O19" s="379"/>
    </row>
    <row r="20" spans="1:15" ht="12.75" customHeight="1" x14ac:dyDescent="0.25">
      <c r="A20" s="379"/>
      <c r="B20" s="469"/>
      <c r="C20" s="977"/>
      <c r="D20" s="977"/>
      <c r="E20" s="977"/>
      <c r="F20" s="977"/>
      <c r="G20" s="977"/>
      <c r="H20" s="977"/>
      <c r="I20" s="977"/>
      <c r="J20" s="977"/>
      <c r="K20" s="977"/>
      <c r="L20" s="977"/>
      <c r="M20" s="977"/>
      <c r="N20" s="977"/>
      <c r="O20" s="379"/>
    </row>
    <row r="21" spans="1:15" ht="19.5" customHeight="1" x14ac:dyDescent="0.35">
      <c r="A21" s="379"/>
      <c r="B21" s="1379" t="s">
        <v>736</v>
      </c>
      <c r="C21" s="1379"/>
      <c r="D21" s="1379"/>
      <c r="E21" s="1379"/>
      <c r="F21" s="466"/>
      <c r="G21" s="466"/>
      <c r="H21" s="466"/>
      <c r="I21" s="466"/>
      <c r="J21" s="466"/>
      <c r="K21" s="466"/>
      <c r="L21" s="466"/>
      <c r="M21" s="466"/>
      <c r="N21" s="466"/>
      <c r="O21" s="379"/>
    </row>
    <row r="22" spans="1:15" ht="7.5" customHeight="1" x14ac:dyDescent="0.25">
      <c r="A22" s="379"/>
      <c r="B22" s="466"/>
      <c r="C22" s="466"/>
      <c r="D22" s="466"/>
      <c r="E22" s="466"/>
      <c r="F22" s="466"/>
      <c r="G22" s="466"/>
      <c r="H22" s="466"/>
      <c r="I22" s="466"/>
      <c r="J22" s="466"/>
      <c r="K22" s="466"/>
      <c r="L22" s="466"/>
      <c r="M22" s="466"/>
      <c r="N22" s="466"/>
      <c r="O22" s="379"/>
    </row>
    <row r="23" spans="1:15" x14ac:dyDescent="0.25">
      <c r="A23" s="379"/>
      <c r="B23" s="1380" t="s">
        <v>2010</v>
      </c>
      <c r="C23" s="1380"/>
      <c r="D23" s="1380"/>
      <c r="E23" s="1380"/>
      <c r="F23" s="1380"/>
      <c r="G23" s="1380"/>
      <c r="H23" s="1380"/>
      <c r="I23" s="1380"/>
      <c r="J23" s="1380"/>
      <c r="K23" s="1380"/>
      <c r="L23" s="1380"/>
      <c r="M23" s="1380"/>
      <c r="N23" s="1380"/>
      <c r="O23" s="379"/>
    </row>
    <row r="24" spans="1:15" ht="15" customHeight="1" x14ac:dyDescent="0.25">
      <c r="A24" s="379"/>
      <c r="B24" s="1380" t="s">
        <v>723</v>
      </c>
      <c r="C24" s="1380"/>
      <c r="D24" s="1380"/>
      <c r="E24" s="1380"/>
      <c r="F24" s="1380"/>
      <c r="G24" s="1380"/>
      <c r="H24" s="1380"/>
      <c r="I24" s="1380"/>
      <c r="J24" s="1380"/>
      <c r="K24" s="1380"/>
      <c r="L24" s="1380"/>
      <c r="M24" s="1380"/>
      <c r="N24" s="1380"/>
      <c r="O24" s="379"/>
    </row>
    <row r="25" spans="1:15" ht="12" customHeight="1" x14ac:dyDescent="0.25">
      <c r="A25" s="379"/>
      <c r="B25" s="466"/>
      <c r="C25" s="466"/>
      <c r="D25" s="466"/>
      <c r="E25" s="466"/>
      <c r="F25" s="466"/>
      <c r="G25" s="466"/>
      <c r="H25" s="466"/>
      <c r="I25" s="466"/>
      <c r="J25" s="466"/>
      <c r="K25" s="466"/>
      <c r="L25" s="466"/>
      <c r="M25" s="466"/>
      <c r="N25" s="466"/>
      <c r="O25" s="379"/>
    </row>
    <row r="26" spans="1:15" ht="19.5" customHeight="1" x14ac:dyDescent="0.25">
      <c r="A26" s="379"/>
      <c r="B26" s="1377" t="s">
        <v>737</v>
      </c>
      <c r="C26" s="1377"/>
      <c r="D26" s="1377"/>
      <c r="E26" s="1377"/>
      <c r="F26" s="466"/>
      <c r="G26" s="466"/>
      <c r="H26" s="470"/>
      <c r="I26" s="466"/>
      <c r="J26" s="466"/>
      <c r="K26" s="466"/>
      <c r="L26" s="466"/>
      <c r="M26" s="466"/>
      <c r="N26" s="466"/>
      <c r="O26" s="379"/>
    </row>
    <row r="27" spans="1:15" ht="7.5" customHeight="1" x14ac:dyDescent="0.25">
      <c r="A27" s="379"/>
      <c r="B27" s="466"/>
      <c r="C27" s="466"/>
      <c r="D27" s="466"/>
      <c r="E27" s="466"/>
      <c r="F27" s="466"/>
      <c r="G27" s="466"/>
      <c r="H27" s="466"/>
      <c r="I27" s="466"/>
      <c r="J27" s="466"/>
      <c r="K27" s="466"/>
      <c r="L27" s="466"/>
      <c r="M27" s="466"/>
      <c r="N27" s="466"/>
      <c r="O27" s="379"/>
    </row>
    <row r="28" spans="1:15" ht="18" customHeight="1" x14ac:dyDescent="0.25">
      <c r="A28" s="379"/>
      <c r="B28" s="1389" t="s">
        <v>520</v>
      </c>
      <c r="C28" s="1390"/>
      <c r="D28" s="1390"/>
      <c r="E28" s="1390"/>
      <c r="F28" s="1390"/>
      <c r="G28" s="1390"/>
      <c r="H28" s="1390"/>
      <c r="I28" s="1390"/>
      <c r="J28" s="1390"/>
      <c r="K28" s="1390"/>
      <c r="L28" s="1390"/>
      <c r="M28" s="1390"/>
      <c r="N28" s="1390"/>
      <c r="O28" s="379"/>
    </row>
    <row r="29" spans="1:15" ht="21" customHeight="1" x14ac:dyDescent="0.25">
      <c r="A29" s="379"/>
      <c r="B29" s="1391" t="s">
        <v>1753</v>
      </c>
      <c r="C29" s="1391"/>
      <c r="D29" s="1391"/>
      <c r="E29" s="1391"/>
      <c r="F29" s="1391"/>
      <c r="G29" s="1391"/>
      <c r="H29" s="1391"/>
      <c r="I29" s="1391"/>
      <c r="J29" s="1391"/>
      <c r="K29" s="1391"/>
      <c r="L29" s="1391"/>
      <c r="M29" s="1391"/>
      <c r="N29" s="1391"/>
      <c r="O29" s="379"/>
    </row>
    <row r="30" spans="1:15" ht="21" customHeight="1" x14ac:dyDescent="0.25">
      <c r="A30" s="379"/>
      <c r="B30" s="1376" t="s">
        <v>1799</v>
      </c>
      <c r="C30" s="1376"/>
      <c r="D30" s="1376"/>
      <c r="E30" s="1376"/>
      <c r="F30" s="1376"/>
      <c r="G30" s="1376"/>
      <c r="H30" s="1376"/>
      <c r="I30" s="1376"/>
      <c r="J30" s="1376"/>
      <c r="K30" s="1376"/>
      <c r="L30" s="1376"/>
      <c r="M30" s="1376"/>
      <c r="N30" s="1376"/>
      <c r="O30" s="379"/>
    </row>
    <row r="31" spans="1:15" ht="21" customHeight="1" x14ac:dyDescent="0.25">
      <c r="A31" s="379"/>
      <c r="B31" s="1376" t="s">
        <v>272</v>
      </c>
      <c r="C31" s="1376"/>
      <c r="D31" s="1376"/>
      <c r="E31" s="1376"/>
      <c r="F31" s="1376"/>
      <c r="G31" s="1376"/>
      <c r="H31" s="1376"/>
      <c r="I31" s="1376"/>
      <c r="J31" s="1376"/>
      <c r="K31" s="1376"/>
      <c r="L31" s="1376"/>
      <c r="M31" s="1376"/>
      <c r="N31" s="1376"/>
      <c r="O31" s="379"/>
    </row>
    <row r="32" spans="1:15" ht="30" customHeight="1" x14ac:dyDescent="0.25">
      <c r="A32" s="379"/>
      <c r="B32" s="1376" t="s">
        <v>1754</v>
      </c>
      <c r="C32" s="1376"/>
      <c r="D32" s="1376"/>
      <c r="E32" s="1376"/>
      <c r="F32" s="1376"/>
      <c r="G32" s="1376"/>
      <c r="H32" s="1376"/>
      <c r="I32" s="1376"/>
      <c r="J32" s="1376"/>
      <c r="K32" s="1376"/>
      <c r="L32" s="1376"/>
      <c r="M32" s="1376"/>
      <c r="N32" s="1376"/>
      <c r="O32" s="379"/>
    </row>
    <row r="33" spans="1:15" ht="21" customHeight="1" x14ac:dyDescent="0.25">
      <c r="A33" s="379"/>
      <c r="B33" s="1376" t="s">
        <v>1755</v>
      </c>
      <c r="C33" s="1376"/>
      <c r="D33" s="1376"/>
      <c r="E33" s="1376"/>
      <c r="F33" s="1376"/>
      <c r="G33" s="1376"/>
      <c r="H33" s="1376"/>
      <c r="I33" s="1376"/>
      <c r="J33" s="1376"/>
      <c r="K33" s="1376"/>
      <c r="L33" s="1376"/>
      <c r="M33" s="1376"/>
      <c r="N33" s="1376"/>
      <c r="O33" s="379"/>
    </row>
    <row r="34" spans="1:15" ht="30" customHeight="1" x14ac:dyDescent="0.25">
      <c r="A34" s="379"/>
      <c r="B34" s="1376" t="s">
        <v>1756</v>
      </c>
      <c r="C34" s="1376"/>
      <c r="D34" s="1376"/>
      <c r="E34" s="1376"/>
      <c r="F34" s="1376"/>
      <c r="G34" s="1376"/>
      <c r="H34" s="1376"/>
      <c r="I34" s="1376"/>
      <c r="J34" s="1376"/>
      <c r="K34" s="1376"/>
      <c r="L34" s="1376"/>
      <c r="M34" s="1376"/>
      <c r="N34" s="1376"/>
      <c r="O34" s="379"/>
    </row>
    <row r="35" spans="1:15" ht="21" customHeight="1" x14ac:dyDescent="0.25">
      <c r="A35" s="379"/>
      <c r="B35" s="1376" t="s">
        <v>1757</v>
      </c>
      <c r="C35" s="1376"/>
      <c r="D35" s="1376"/>
      <c r="E35" s="1376"/>
      <c r="F35" s="1376"/>
      <c r="G35" s="1376"/>
      <c r="H35" s="1376"/>
      <c r="I35" s="1376"/>
      <c r="J35" s="1376"/>
      <c r="K35" s="1376"/>
      <c r="L35" s="1376"/>
      <c r="M35" s="1376"/>
      <c r="N35" s="1376"/>
      <c r="O35" s="379"/>
    </row>
    <row r="36" spans="1:15" ht="30" customHeight="1" x14ac:dyDescent="0.25">
      <c r="A36" s="379"/>
      <c r="B36" s="1376" t="s">
        <v>521</v>
      </c>
      <c r="C36" s="1376"/>
      <c r="D36" s="1376"/>
      <c r="E36" s="1376"/>
      <c r="F36" s="1376"/>
      <c r="G36" s="1376"/>
      <c r="H36" s="1376"/>
      <c r="I36" s="1376"/>
      <c r="J36" s="1376"/>
      <c r="K36" s="1376"/>
      <c r="L36" s="1376"/>
      <c r="M36" s="1376"/>
      <c r="N36" s="1376"/>
      <c r="O36" s="379"/>
    </row>
    <row r="37" spans="1:15" ht="12" customHeight="1" x14ac:dyDescent="0.25">
      <c r="A37" s="379"/>
      <c r="B37" s="466"/>
      <c r="C37" s="466"/>
      <c r="D37" s="466"/>
      <c r="E37" s="466"/>
      <c r="F37" s="466"/>
      <c r="G37" s="466"/>
      <c r="H37" s="466"/>
      <c r="I37" s="466"/>
      <c r="J37" s="466"/>
      <c r="K37" s="466"/>
      <c r="L37" s="466"/>
      <c r="M37" s="466"/>
      <c r="N37" s="466"/>
      <c r="O37" s="379"/>
    </row>
    <row r="38" spans="1:15" ht="19.5" customHeight="1" x14ac:dyDescent="0.25">
      <c r="A38" s="379"/>
      <c r="B38" s="1377" t="s">
        <v>738</v>
      </c>
      <c r="C38" s="1377"/>
      <c r="D38" s="1377"/>
      <c r="E38" s="1377"/>
      <c r="F38" s="466"/>
      <c r="G38" s="466"/>
      <c r="H38" s="466"/>
      <c r="I38" s="466"/>
      <c r="J38" s="466"/>
      <c r="K38" s="466"/>
      <c r="L38" s="466"/>
      <c r="M38" s="466"/>
      <c r="N38" s="466"/>
      <c r="O38" s="379"/>
    </row>
    <row r="39" spans="1:15" ht="7.5" customHeight="1" x14ac:dyDescent="0.25">
      <c r="A39" s="379"/>
      <c r="B39" s="468"/>
      <c r="C39" s="468"/>
      <c r="D39" s="468"/>
      <c r="E39" s="468"/>
      <c r="F39" s="466"/>
      <c r="G39" s="466"/>
      <c r="H39" s="466"/>
      <c r="I39" s="466"/>
      <c r="J39" s="466"/>
      <c r="K39" s="466"/>
      <c r="L39" s="466"/>
      <c r="M39" s="466"/>
      <c r="N39" s="466"/>
      <c r="O39" s="379"/>
    </row>
    <row r="40" spans="1:15" ht="65.25" customHeight="1" x14ac:dyDescent="0.25">
      <c r="A40" s="379"/>
      <c r="B40" s="1388" t="s">
        <v>704</v>
      </c>
      <c r="C40" s="1378"/>
      <c r="D40" s="1378"/>
      <c r="E40" s="1378"/>
      <c r="F40" s="1378"/>
      <c r="G40" s="1378"/>
      <c r="H40" s="1378"/>
      <c r="I40" s="1378"/>
      <c r="J40" s="1378"/>
      <c r="K40" s="1378"/>
      <c r="L40" s="1378"/>
      <c r="M40" s="1378"/>
      <c r="N40" s="1378"/>
      <c r="O40" s="379"/>
    </row>
    <row r="41" spans="1:15" ht="9" customHeight="1" x14ac:dyDescent="0.25">
      <c r="A41" s="379"/>
      <c r="B41" s="471"/>
      <c r="C41" s="472"/>
      <c r="D41" s="472"/>
      <c r="E41" s="472"/>
      <c r="F41" s="472"/>
      <c r="G41" s="472"/>
      <c r="H41" s="472"/>
      <c r="I41" s="472"/>
      <c r="J41" s="472"/>
      <c r="K41" s="472"/>
      <c r="L41" s="472"/>
      <c r="M41" s="472"/>
      <c r="N41" s="472"/>
      <c r="O41" s="379"/>
    </row>
    <row r="42" spans="1:15" ht="15" customHeight="1" x14ac:dyDescent="0.25">
      <c r="A42" s="379"/>
      <c r="B42" s="747" t="s">
        <v>110</v>
      </c>
      <c r="C42" s="468"/>
      <c r="D42" s="468"/>
      <c r="E42" s="468"/>
      <c r="F42" s="466"/>
      <c r="G42" s="466"/>
      <c r="H42" s="466"/>
      <c r="I42" s="466"/>
      <c r="J42" s="466"/>
      <c r="K42" s="466"/>
      <c r="L42" s="466"/>
      <c r="M42" s="466"/>
      <c r="N42" s="466"/>
      <c r="O42" s="379"/>
    </row>
    <row r="43" spans="1:15" ht="33" customHeight="1" x14ac:dyDescent="0.25">
      <c r="A43" s="379"/>
      <c r="B43" s="1378" t="s">
        <v>273</v>
      </c>
      <c r="C43" s="1378"/>
      <c r="D43" s="1378"/>
      <c r="E43" s="1378"/>
      <c r="F43" s="1378"/>
      <c r="G43" s="1378"/>
      <c r="H43" s="1378"/>
      <c r="I43" s="1378"/>
      <c r="J43" s="1378"/>
      <c r="K43" s="1378"/>
      <c r="L43" s="1378"/>
      <c r="M43" s="1378"/>
      <c r="N43" s="1378"/>
      <c r="O43" s="379"/>
    </row>
    <row r="44" spans="1:15" ht="15" customHeight="1" x14ac:dyDescent="0.25">
      <c r="A44" s="379"/>
      <c r="B44" s="468"/>
      <c r="C44" s="468"/>
      <c r="D44" s="468"/>
      <c r="E44" s="468"/>
      <c r="F44" s="466"/>
      <c r="G44" s="466"/>
      <c r="H44" s="466"/>
      <c r="I44" s="466"/>
      <c r="J44" s="466"/>
      <c r="K44" s="466"/>
      <c r="L44" s="466"/>
      <c r="M44" s="466"/>
      <c r="N44" s="466"/>
      <c r="O44" s="379"/>
    </row>
    <row r="45" spans="1:15" ht="19.5" customHeight="1" x14ac:dyDescent="0.25">
      <c r="A45" s="379"/>
      <c r="B45" s="1377" t="s">
        <v>740</v>
      </c>
      <c r="C45" s="1377"/>
      <c r="D45" s="1377"/>
      <c r="E45" s="1377"/>
      <c r="F45" s="466"/>
      <c r="G45" s="466"/>
      <c r="H45" s="466"/>
      <c r="I45" s="466"/>
      <c r="J45" s="466"/>
      <c r="K45" s="466"/>
      <c r="L45" s="466"/>
      <c r="M45" s="466"/>
      <c r="N45" s="466"/>
      <c r="O45" s="379"/>
    </row>
    <row r="46" spans="1:15" ht="7.5" customHeight="1" x14ac:dyDescent="0.25">
      <c r="A46" s="379"/>
      <c r="B46" s="473"/>
      <c r="C46" s="473"/>
      <c r="D46" s="473"/>
      <c r="E46" s="473"/>
      <c r="F46" s="466"/>
      <c r="G46" s="466"/>
      <c r="H46" s="466"/>
      <c r="I46" s="466"/>
      <c r="J46" s="466"/>
      <c r="K46" s="466"/>
      <c r="L46" s="466"/>
      <c r="M46" s="466"/>
      <c r="N46" s="466"/>
      <c r="O46" s="379"/>
    </row>
    <row r="47" spans="1:15" ht="35.25" customHeight="1" x14ac:dyDescent="0.25">
      <c r="A47" s="379"/>
      <c r="B47" s="1378" t="s">
        <v>685</v>
      </c>
      <c r="C47" s="1378"/>
      <c r="D47" s="1378"/>
      <c r="E47" s="1378"/>
      <c r="F47" s="1378"/>
      <c r="G47" s="1378"/>
      <c r="H47" s="1378"/>
      <c r="I47" s="1378"/>
      <c r="J47" s="1378"/>
      <c r="K47" s="1378"/>
      <c r="L47" s="1378"/>
      <c r="M47" s="1378"/>
      <c r="N47" s="1378"/>
      <c r="O47" s="379"/>
    </row>
    <row r="48" spans="1:15" ht="45" customHeight="1" x14ac:dyDescent="0.25">
      <c r="A48" s="379"/>
      <c r="B48" s="1378" t="s">
        <v>686</v>
      </c>
      <c r="C48" s="1378"/>
      <c r="D48" s="1378"/>
      <c r="E48" s="1378"/>
      <c r="F48" s="1378"/>
      <c r="G48" s="1378"/>
      <c r="H48" s="1378"/>
      <c r="I48" s="1378"/>
      <c r="J48" s="1378"/>
      <c r="K48" s="1378"/>
      <c r="L48" s="1378"/>
      <c r="M48" s="1378"/>
      <c r="N48" s="1378"/>
      <c r="O48" s="379"/>
    </row>
    <row r="49" spans="1:15" ht="15" customHeight="1" x14ac:dyDescent="0.25">
      <c r="A49" s="379"/>
      <c r="B49" s="468"/>
      <c r="C49" s="468"/>
      <c r="D49" s="468"/>
      <c r="E49" s="468"/>
      <c r="F49" s="466"/>
      <c r="G49" s="466"/>
      <c r="H49" s="466"/>
      <c r="I49" s="466"/>
      <c r="J49" s="466"/>
      <c r="K49" s="466"/>
      <c r="L49" s="466"/>
      <c r="M49" s="466"/>
      <c r="N49" s="466"/>
      <c r="O49" s="379"/>
    </row>
    <row r="50" spans="1:15" ht="19.5" customHeight="1" x14ac:dyDescent="0.25">
      <c r="A50" s="379"/>
      <c r="B50" s="1377" t="s">
        <v>739</v>
      </c>
      <c r="C50" s="1377"/>
      <c r="D50" s="1377"/>
      <c r="E50" s="1377"/>
      <c r="F50" s="1377"/>
      <c r="G50" s="466"/>
      <c r="H50" s="466"/>
      <c r="I50" s="466"/>
      <c r="J50" s="466"/>
      <c r="K50" s="466"/>
      <c r="L50" s="466"/>
      <c r="M50" s="466"/>
      <c r="N50" s="466"/>
      <c r="O50" s="379"/>
    </row>
    <row r="51" spans="1:15" ht="7.5" customHeight="1" x14ac:dyDescent="0.25">
      <c r="A51" s="379"/>
      <c r="B51" s="466"/>
      <c r="C51" s="466"/>
      <c r="D51" s="466"/>
      <c r="E51" s="466"/>
      <c r="F51" s="466"/>
      <c r="G51" s="466"/>
      <c r="H51" s="466"/>
      <c r="I51" s="466"/>
      <c r="J51" s="466"/>
      <c r="K51" s="466"/>
      <c r="L51" s="466"/>
      <c r="M51" s="466"/>
      <c r="N51" s="466"/>
      <c r="O51" s="379"/>
    </row>
    <row r="52" spans="1:15" ht="16.5" customHeight="1" x14ac:dyDescent="0.25">
      <c r="A52" s="379"/>
      <c r="B52" s="1378" t="s">
        <v>1696</v>
      </c>
      <c r="C52" s="1378"/>
      <c r="D52" s="1378"/>
      <c r="E52" s="1378"/>
      <c r="F52" s="1378"/>
      <c r="G52" s="1378"/>
      <c r="H52" s="1378"/>
      <c r="I52" s="1378"/>
      <c r="J52" s="1378"/>
      <c r="K52" s="1378"/>
      <c r="L52" s="1378"/>
      <c r="M52" s="1378"/>
      <c r="N52" s="1378"/>
      <c r="O52" s="379"/>
    </row>
    <row r="53" spans="1:15" ht="30.75" customHeight="1" x14ac:dyDescent="0.25">
      <c r="A53" s="379"/>
      <c r="B53" s="1378" t="s">
        <v>292</v>
      </c>
      <c r="C53" s="1378"/>
      <c r="D53" s="1378"/>
      <c r="E53" s="1378"/>
      <c r="F53" s="1378"/>
      <c r="G53" s="1378"/>
      <c r="H53" s="1378"/>
      <c r="I53" s="1378"/>
      <c r="J53" s="1378"/>
      <c r="K53" s="1378"/>
      <c r="L53" s="1378"/>
      <c r="M53" s="1378"/>
      <c r="N53" s="1378"/>
      <c r="O53" s="379"/>
    </row>
    <row r="54" spans="1:15" ht="13.5" customHeight="1" x14ac:dyDescent="0.25">
      <c r="A54" s="379"/>
      <c r="B54" s="466"/>
      <c r="C54" s="466"/>
      <c r="D54" s="466"/>
      <c r="E54" s="466"/>
      <c r="F54" s="466"/>
      <c r="G54" s="466"/>
      <c r="H54" s="466"/>
      <c r="I54" s="466"/>
      <c r="J54" s="466"/>
      <c r="K54" s="466"/>
      <c r="L54" s="466"/>
      <c r="M54" s="466"/>
      <c r="N54" s="466"/>
      <c r="O54" s="379"/>
    </row>
    <row r="55" spans="1:15" ht="15" customHeight="1" x14ac:dyDescent="0.25">
      <c r="A55" s="379"/>
      <c r="B55" s="466"/>
      <c r="C55" s="466"/>
      <c r="D55" s="466"/>
      <c r="E55" s="466"/>
      <c r="F55" s="466"/>
      <c r="G55" s="466"/>
      <c r="H55" s="466"/>
      <c r="I55" s="466"/>
      <c r="J55" s="466"/>
      <c r="K55" s="466"/>
      <c r="L55" s="466"/>
      <c r="M55" s="466"/>
      <c r="N55" s="466"/>
      <c r="O55" s="379"/>
    </row>
    <row r="56" spans="1:15" ht="15" customHeight="1" x14ac:dyDescent="0.25">
      <c r="A56" s="379"/>
      <c r="B56" s="466"/>
      <c r="C56" s="466"/>
      <c r="D56" s="466"/>
      <c r="E56" s="466"/>
      <c r="F56" s="466"/>
      <c r="G56" s="466"/>
      <c r="H56" s="466"/>
      <c r="I56" s="466"/>
      <c r="J56" s="466"/>
      <c r="K56" s="466"/>
      <c r="L56" s="466"/>
      <c r="M56" s="466"/>
      <c r="N56" s="466"/>
      <c r="O56" s="379"/>
    </row>
    <row r="57" spans="1:15" ht="11.25" customHeight="1" x14ac:dyDescent="0.25">
      <c r="A57" s="379"/>
      <c r="B57" s="466"/>
      <c r="C57" s="466"/>
      <c r="D57" s="466"/>
      <c r="E57" s="466"/>
      <c r="F57" s="466"/>
      <c r="G57" s="466"/>
      <c r="H57" s="466"/>
      <c r="I57" s="466"/>
      <c r="J57" s="466"/>
      <c r="K57" s="466"/>
      <c r="L57" s="466"/>
      <c r="M57" s="466"/>
      <c r="N57" s="466"/>
      <c r="O57" s="379"/>
    </row>
    <row r="58" spans="1:15" ht="15" customHeight="1" x14ac:dyDescent="0.25">
      <c r="A58" s="379"/>
      <c r="B58" s="469" t="s">
        <v>293</v>
      </c>
      <c r="C58" s="466"/>
      <c r="D58" s="466"/>
      <c r="E58" s="466"/>
      <c r="F58" s="466"/>
      <c r="G58" s="466"/>
      <c r="H58" s="466"/>
      <c r="I58" s="466"/>
      <c r="J58" s="466"/>
      <c r="K58" s="466"/>
      <c r="L58" s="466"/>
      <c r="M58" s="466"/>
      <c r="N58" s="466"/>
      <c r="O58" s="379"/>
    </row>
    <row r="59" spans="1:15" ht="15" customHeight="1" x14ac:dyDescent="0.25">
      <c r="A59" s="379"/>
      <c r="B59" s="466"/>
      <c r="C59" s="466"/>
      <c r="D59" s="466"/>
      <c r="E59" s="466"/>
      <c r="F59" s="466"/>
      <c r="G59" s="466"/>
      <c r="H59" s="466"/>
      <c r="I59" s="466"/>
      <c r="J59" s="466"/>
      <c r="K59" s="466"/>
      <c r="L59" s="466"/>
      <c r="M59" s="466"/>
      <c r="N59" s="466"/>
      <c r="O59" s="379"/>
    </row>
    <row r="60" spans="1:15" ht="15" customHeight="1" x14ac:dyDescent="0.25">
      <c r="A60" s="379"/>
      <c r="B60" s="466"/>
      <c r="C60" s="466"/>
      <c r="D60" s="466"/>
      <c r="E60" s="466"/>
      <c r="F60" s="466"/>
      <c r="G60" s="466"/>
      <c r="H60" s="466"/>
      <c r="I60" s="466"/>
      <c r="J60" s="466"/>
      <c r="K60" s="466"/>
      <c r="L60" s="466"/>
      <c r="M60" s="466"/>
      <c r="N60" s="466"/>
      <c r="O60" s="379"/>
    </row>
    <row r="61" spans="1:15" ht="15" customHeight="1" x14ac:dyDescent="0.25">
      <c r="A61" s="379"/>
      <c r="B61" s="466"/>
      <c r="C61" s="466"/>
      <c r="D61" s="466"/>
      <c r="E61" s="466"/>
      <c r="F61" s="466"/>
      <c r="G61" s="466"/>
      <c r="H61" s="466"/>
      <c r="I61" s="466"/>
      <c r="J61" s="466"/>
      <c r="K61" s="466"/>
      <c r="L61" s="466"/>
      <c r="M61" s="466"/>
      <c r="N61" s="466"/>
      <c r="O61" s="379"/>
    </row>
    <row r="62" spans="1:15" ht="15" customHeight="1" x14ac:dyDescent="0.25">
      <c r="A62" s="379"/>
      <c r="B62" s="466"/>
      <c r="C62" s="466"/>
      <c r="D62" s="466"/>
      <c r="E62" s="466"/>
      <c r="F62" s="466"/>
      <c r="G62" s="466"/>
      <c r="H62" s="466"/>
      <c r="I62" s="466"/>
      <c r="J62" s="466"/>
      <c r="K62" s="466"/>
      <c r="L62" s="466"/>
      <c r="M62" s="466"/>
      <c r="N62" s="466"/>
      <c r="O62" s="379"/>
    </row>
    <row r="63" spans="1:15" ht="15" customHeight="1" x14ac:dyDescent="0.25">
      <c r="A63" s="379"/>
      <c r="B63" s="466"/>
      <c r="C63" s="466"/>
      <c r="D63" s="466"/>
      <c r="E63" s="466"/>
      <c r="F63" s="466"/>
      <c r="G63" s="466"/>
      <c r="H63" s="466"/>
      <c r="I63" s="466"/>
      <c r="J63" s="466"/>
      <c r="K63" s="466"/>
      <c r="L63" s="466"/>
      <c r="M63" s="466"/>
      <c r="N63" s="466"/>
      <c r="O63" s="379"/>
    </row>
    <row r="64" spans="1:15" ht="15" customHeight="1" x14ac:dyDescent="0.25">
      <c r="A64" s="379"/>
      <c r="B64" s="466"/>
      <c r="C64" s="466"/>
      <c r="D64" s="466"/>
      <c r="E64" s="466"/>
      <c r="F64" s="466"/>
      <c r="G64" s="466"/>
      <c r="H64" s="466"/>
      <c r="I64" s="466"/>
      <c r="J64" s="466"/>
      <c r="K64" s="466"/>
      <c r="L64" s="466"/>
      <c r="M64" s="466"/>
      <c r="N64" s="466"/>
      <c r="O64" s="379"/>
    </row>
    <row r="65" spans="1:15" ht="15" customHeight="1" x14ac:dyDescent="0.25">
      <c r="A65" s="379"/>
      <c r="B65" s="466"/>
      <c r="C65" s="466"/>
      <c r="D65" s="466"/>
      <c r="E65" s="466"/>
      <c r="F65" s="466"/>
      <c r="G65" s="466"/>
      <c r="H65" s="466"/>
      <c r="I65" s="466"/>
      <c r="J65" s="466"/>
      <c r="K65" s="466"/>
      <c r="L65" s="466"/>
      <c r="M65" s="466"/>
      <c r="N65" s="466"/>
      <c r="O65" s="379"/>
    </row>
    <row r="66" spans="1:15" ht="15" customHeight="1" x14ac:dyDescent="0.25">
      <c r="A66" s="379"/>
      <c r="B66" s="466"/>
      <c r="C66" s="466"/>
      <c r="D66" s="466"/>
      <c r="E66" s="466"/>
      <c r="F66" s="466"/>
      <c r="G66" s="466"/>
      <c r="H66" s="466"/>
      <c r="I66" s="466"/>
      <c r="J66" s="466"/>
      <c r="K66" s="466"/>
      <c r="L66" s="466"/>
      <c r="M66" s="466"/>
      <c r="N66" s="466"/>
      <c r="O66" s="379"/>
    </row>
    <row r="67" spans="1:15" ht="18" customHeight="1" x14ac:dyDescent="0.25">
      <c r="A67" s="379"/>
      <c r="B67" s="466"/>
      <c r="C67" s="466"/>
      <c r="D67" s="466"/>
      <c r="E67" s="466"/>
      <c r="F67" s="466"/>
      <c r="G67" s="466"/>
      <c r="H67" s="466"/>
      <c r="I67" s="466"/>
      <c r="J67" s="466"/>
      <c r="K67" s="466"/>
      <c r="L67" s="466"/>
      <c r="M67" s="466"/>
      <c r="N67" s="466"/>
      <c r="O67" s="379"/>
    </row>
    <row r="68" spans="1:15" ht="19.5" customHeight="1" x14ac:dyDescent="0.25">
      <c r="A68" s="379"/>
      <c r="B68" s="1377" t="s">
        <v>742</v>
      </c>
      <c r="C68" s="1377"/>
      <c r="D68" s="1377"/>
      <c r="E68" s="1377"/>
      <c r="F68" s="466"/>
      <c r="G68" s="466"/>
      <c r="H68" s="466"/>
      <c r="I68" s="466"/>
      <c r="J68" s="466"/>
      <c r="K68" s="466"/>
      <c r="L68" s="466"/>
      <c r="M68" s="466"/>
      <c r="N68" s="466"/>
      <c r="O68" s="379"/>
    </row>
    <row r="69" spans="1:15" ht="15" customHeight="1" x14ac:dyDescent="0.25">
      <c r="A69" s="379"/>
      <c r="B69" s="466"/>
      <c r="C69" s="466"/>
      <c r="D69" s="466"/>
      <c r="E69" s="466"/>
      <c r="F69" s="466"/>
      <c r="G69" s="466"/>
      <c r="H69" s="466"/>
      <c r="I69" s="466"/>
      <c r="J69" s="466"/>
      <c r="K69" s="466"/>
      <c r="L69" s="466"/>
      <c r="M69" s="466"/>
      <c r="N69" s="466"/>
      <c r="O69" s="379"/>
    </row>
    <row r="70" spans="1:15" ht="15" customHeight="1" x14ac:dyDescent="0.25">
      <c r="A70" s="379"/>
      <c r="B70" s="475" t="s">
        <v>1295</v>
      </c>
      <c r="C70" s="466"/>
      <c r="D70" s="466"/>
      <c r="E70" s="466"/>
      <c r="F70" s="466"/>
      <c r="G70" s="466"/>
      <c r="H70" s="466"/>
      <c r="I70" s="466"/>
      <c r="J70" s="466"/>
      <c r="K70" s="466"/>
      <c r="L70" s="466"/>
      <c r="M70" s="466"/>
      <c r="N70" s="466"/>
      <c r="O70" s="379"/>
    </row>
    <row r="71" spans="1:15" ht="15" customHeight="1" x14ac:dyDescent="0.25">
      <c r="A71" s="379"/>
      <c r="B71" s="979" t="s">
        <v>1729</v>
      </c>
      <c r="C71" s="466"/>
      <c r="D71" s="466"/>
      <c r="E71" s="466"/>
      <c r="F71" s="466"/>
      <c r="G71" s="466"/>
      <c r="H71" s="466"/>
      <c r="I71" s="466"/>
      <c r="J71" s="466"/>
      <c r="K71" s="466"/>
      <c r="L71" s="466"/>
      <c r="M71" s="466"/>
      <c r="N71" s="466"/>
      <c r="O71" s="379"/>
    </row>
    <row r="72" spans="1:15" ht="15" customHeight="1" x14ac:dyDescent="0.25">
      <c r="A72" s="379"/>
      <c r="B72" s="979" t="s">
        <v>1730</v>
      </c>
      <c r="C72" s="767"/>
      <c r="D72" s="767"/>
      <c r="E72" s="767"/>
      <c r="F72" s="767"/>
      <c r="G72" s="767"/>
      <c r="H72" s="767"/>
      <c r="I72" s="767"/>
      <c r="J72" s="767"/>
      <c r="K72" s="767"/>
      <c r="L72" s="767"/>
      <c r="M72" s="767"/>
      <c r="N72" s="767"/>
      <c r="O72" s="379"/>
    </row>
    <row r="73" spans="1:15" ht="15" customHeight="1" x14ac:dyDescent="0.25">
      <c r="A73" s="379"/>
      <c r="B73" s="979" t="s">
        <v>1731</v>
      </c>
      <c r="C73" s="767"/>
      <c r="D73" s="767"/>
      <c r="E73" s="767"/>
      <c r="F73" s="767"/>
      <c r="G73" s="767"/>
      <c r="H73" s="767"/>
      <c r="I73" s="767"/>
      <c r="J73" s="767"/>
      <c r="K73" s="767"/>
      <c r="L73" s="767"/>
      <c r="M73" s="767"/>
      <c r="N73" s="767"/>
      <c r="O73" s="379"/>
    </row>
    <row r="74" spans="1:15" ht="15" customHeight="1" x14ac:dyDescent="0.25">
      <c r="A74" s="379"/>
      <c r="B74" s="466"/>
      <c r="C74" s="466"/>
      <c r="D74" s="466"/>
      <c r="E74" s="466"/>
      <c r="F74" s="466"/>
      <c r="G74" s="466"/>
      <c r="H74" s="466"/>
      <c r="I74" s="466"/>
      <c r="J74" s="466"/>
      <c r="K74" s="466"/>
      <c r="L74" s="466"/>
      <c r="M74" s="466"/>
      <c r="N74" s="466"/>
      <c r="O74" s="379"/>
    </row>
    <row r="75" spans="1:15" ht="15" customHeight="1" x14ac:dyDescent="0.25">
      <c r="A75" s="379"/>
      <c r="B75" s="466"/>
      <c r="C75" s="466"/>
      <c r="D75" s="466"/>
      <c r="E75" s="466"/>
      <c r="F75" s="466"/>
      <c r="G75" s="466"/>
      <c r="H75" s="466"/>
      <c r="I75" s="466"/>
      <c r="J75" s="466"/>
      <c r="K75" s="466"/>
      <c r="L75" s="466"/>
      <c r="M75" s="466"/>
      <c r="N75" s="466"/>
      <c r="O75" s="379"/>
    </row>
    <row r="76" spans="1:15" ht="15" customHeight="1" x14ac:dyDescent="0.25">
      <c r="A76" s="379"/>
      <c r="B76" s="466"/>
      <c r="C76" s="466"/>
      <c r="D76" s="466"/>
      <c r="E76" s="466"/>
      <c r="F76" s="466"/>
      <c r="G76" s="466"/>
      <c r="H76" s="466"/>
      <c r="I76" s="466"/>
      <c r="J76" s="466"/>
      <c r="K76" s="466"/>
      <c r="L76" s="466"/>
      <c r="M76" s="466"/>
      <c r="N76" s="466"/>
      <c r="O76" s="379"/>
    </row>
    <row r="77" spans="1:15" ht="15" customHeight="1" x14ac:dyDescent="0.25">
      <c r="A77" s="379"/>
      <c r="B77" s="466"/>
      <c r="C77" s="466"/>
      <c r="D77" s="466"/>
      <c r="E77" s="466"/>
      <c r="F77" s="466"/>
      <c r="G77" s="466"/>
      <c r="H77" s="466"/>
      <c r="I77" s="466"/>
      <c r="J77" s="466"/>
      <c r="K77" s="466"/>
      <c r="L77" s="466"/>
      <c r="M77" s="466"/>
      <c r="N77" s="466"/>
      <c r="O77" s="379"/>
    </row>
    <row r="78" spans="1:15" ht="15" customHeight="1" x14ac:dyDescent="0.25">
      <c r="A78" s="379"/>
      <c r="B78" s="466"/>
      <c r="C78" s="466"/>
      <c r="D78" s="466"/>
      <c r="E78" s="466"/>
      <c r="F78" s="466"/>
      <c r="G78" s="466"/>
      <c r="H78" s="466"/>
      <c r="I78" s="466"/>
      <c r="J78" s="466"/>
      <c r="K78" s="466"/>
      <c r="L78" s="466"/>
      <c r="M78" s="466"/>
      <c r="N78" s="466"/>
      <c r="O78" s="379"/>
    </row>
    <row r="79" spans="1:15" ht="15" customHeight="1" x14ac:dyDescent="0.25">
      <c r="A79" s="379"/>
      <c r="B79" s="466"/>
      <c r="C79" s="466"/>
      <c r="D79" s="466"/>
      <c r="E79" s="466"/>
      <c r="F79" s="466"/>
      <c r="G79" s="466"/>
      <c r="H79" s="466"/>
      <c r="I79" s="466"/>
      <c r="J79" s="466"/>
      <c r="K79" s="466"/>
      <c r="L79" s="466"/>
      <c r="M79" s="466"/>
      <c r="N79" s="466"/>
      <c r="O79" s="379"/>
    </row>
    <row r="80" spans="1:15" ht="15" customHeight="1" x14ac:dyDescent="0.25">
      <c r="A80" s="379"/>
      <c r="B80" s="466"/>
      <c r="C80" s="466"/>
      <c r="D80" s="466"/>
      <c r="E80" s="466"/>
      <c r="F80" s="466"/>
      <c r="G80" s="466"/>
      <c r="H80" s="466"/>
      <c r="I80" s="466"/>
      <c r="J80" s="466"/>
      <c r="K80" s="466"/>
      <c r="L80" s="466"/>
      <c r="M80" s="466"/>
      <c r="N80" s="466"/>
      <c r="O80" s="379"/>
    </row>
    <row r="81" spans="1:15" ht="15" customHeight="1" x14ac:dyDescent="0.25">
      <c r="A81" s="379"/>
      <c r="B81" s="466"/>
      <c r="C81" s="466"/>
      <c r="D81" s="466"/>
      <c r="E81" s="466"/>
      <c r="F81" s="466"/>
      <c r="G81" s="466"/>
      <c r="H81" s="466"/>
      <c r="I81" s="466"/>
      <c r="J81" s="466"/>
      <c r="K81" s="466"/>
      <c r="L81" s="466"/>
      <c r="M81" s="466"/>
      <c r="N81" s="466"/>
      <c r="O81" s="379"/>
    </row>
    <row r="82" spans="1:15" ht="15" customHeight="1" x14ac:dyDescent="0.25">
      <c r="A82" s="379"/>
      <c r="B82" s="466"/>
      <c r="C82" s="466"/>
      <c r="D82" s="466"/>
      <c r="E82" s="466"/>
      <c r="F82" s="466"/>
      <c r="G82" s="466"/>
      <c r="H82" s="466"/>
      <c r="I82" s="466"/>
      <c r="J82" s="466"/>
      <c r="K82" s="466"/>
      <c r="L82" s="466"/>
      <c r="M82" s="466"/>
      <c r="N82" s="466"/>
      <c r="O82" s="379"/>
    </row>
    <row r="83" spans="1:15" x14ac:dyDescent="0.25">
      <c r="A83" s="379"/>
      <c r="B83" s="466"/>
      <c r="C83" s="466"/>
      <c r="D83" s="466"/>
      <c r="E83" s="466"/>
      <c r="F83" s="466"/>
      <c r="G83" s="466"/>
      <c r="H83" s="466"/>
      <c r="I83" s="466"/>
      <c r="J83" s="466"/>
      <c r="K83" s="466"/>
      <c r="L83" s="466"/>
      <c r="M83" s="466"/>
      <c r="N83" s="466"/>
      <c r="O83" s="379"/>
    </row>
    <row r="84" spans="1:15" ht="15" customHeight="1" x14ac:dyDescent="0.25">
      <c r="A84" s="379"/>
      <c r="B84" s="474"/>
      <c r="C84" s="474"/>
      <c r="D84" s="474"/>
      <c r="E84" s="474"/>
      <c r="F84" s="466"/>
      <c r="G84" s="466"/>
      <c r="H84" s="466"/>
      <c r="I84" s="466"/>
      <c r="J84" s="466"/>
      <c r="K84" s="466"/>
      <c r="L84" s="466"/>
      <c r="M84" s="466"/>
      <c r="N84" s="466"/>
      <c r="O84" s="379"/>
    </row>
    <row r="85" spans="1:15" x14ac:dyDescent="0.25">
      <c r="A85" s="379"/>
      <c r="B85" s="475"/>
      <c r="C85" s="466"/>
      <c r="D85" s="466"/>
      <c r="E85" s="466"/>
      <c r="F85" s="466"/>
      <c r="G85" s="466"/>
      <c r="H85" s="466"/>
      <c r="I85" s="466"/>
      <c r="J85" s="466"/>
      <c r="K85" s="466"/>
      <c r="L85" s="466"/>
      <c r="M85" s="466"/>
      <c r="N85" s="466"/>
      <c r="O85" s="379"/>
    </row>
    <row r="86" spans="1:15" x14ac:dyDescent="0.25">
      <c r="A86" s="379"/>
      <c r="B86" s="476"/>
      <c r="C86" s="466"/>
      <c r="D86" s="466"/>
      <c r="E86" s="466"/>
      <c r="F86" s="466"/>
      <c r="G86" s="466"/>
      <c r="H86" s="466"/>
      <c r="I86" s="466"/>
      <c r="J86" s="466"/>
      <c r="K86" s="466"/>
      <c r="L86" s="466"/>
      <c r="M86" s="466"/>
      <c r="N86" s="466"/>
      <c r="O86" s="379"/>
    </row>
    <row r="87" spans="1:15" ht="21" customHeight="1" x14ac:dyDescent="0.25">
      <c r="A87" s="379"/>
      <c r="B87" s="1221" t="s">
        <v>1443</v>
      </c>
      <c r="C87" s="849"/>
      <c r="D87" s="849"/>
      <c r="E87" s="849"/>
      <c r="F87" s="849"/>
      <c r="G87" s="849"/>
      <c r="H87" s="849"/>
      <c r="I87" s="849"/>
      <c r="J87" s="849"/>
      <c r="K87" s="849"/>
      <c r="L87" s="849"/>
      <c r="M87" s="849"/>
      <c r="N87" s="849"/>
      <c r="O87" s="849"/>
    </row>
    <row r="88" spans="1:15" ht="30.75" customHeight="1" x14ac:dyDescent="0.25">
      <c r="A88" s="379"/>
      <c r="B88" s="1372" t="s">
        <v>1444</v>
      </c>
      <c r="C88" s="1372"/>
      <c r="D88" s="1372"/>
      <c r="E88" s="1372"/>
      <c r="F88" s="1372"/>
      <c r="G88" s="1372"/>
      <c r="H88" s="1372"/>
      <c r="I88" s="1372"/>
      <c r="J88" s="1372"/>
      <c r="K88" s="1372"/>
      <c r="L88" s="1372"/>
      <c r="M88" s="1372"/>
      <c r="N88" s="1372"/>
      <c r="O88" s="1372"/>
    </row>
    <row r="89" spans="1:15" x14ac:dyDescent="0.25">
      <c r="A89" s="379"/>
      <c r="B89" s="1372" t="s">
        <v>1461</v>
      </c>
      <c r="C89" s="1372"/>
      <c r="D89" s="1372"/>
      <c r="E89" s="1372"/>
      <c r="F89" s="1372"/>
      <c r="G89" s="1372"/>
      <c r="H89" s="1372"/>
      <c r="I89" s="1372"/>
      <c r="J89" s="1372"/>
      <c r="K89" s="1372"/>
      <c r="L89" s="1372"/>
      <c r="M89" s="1372"/>
      <c r="N89" s="1372"/>
      <c r="O89" s="1372"/>
    </row>
    <row r="90" spans="1:15" x14ac:dyDescent="0.25">
      <c r="A90" s="379"/>
      <c r="B90" s="1372" t="s">
        <v>1758</v>
      </c>
      <c r="C90" s="1372"/>
      <c r="D90" s="1372"/>
      <c r="E90" s="1372"/>
      <c r="F90" s="1372"/>
      <c r="G90" s="1372"/>
      <c r="H90" s="1372"/>
      <c r="I90" s="1372"/>
      <c r="J90" s="1372"/>
      <c r="K90" s="1372"/>
      <c r="L90" s="1372"/>
      <c r="M90" s="1372"/>
      <c r="N90" s="1372"/>
      <c r="O90" s="1372"/>
    </row>
    <row r="91" spans="1:15" ht="2.25" customHeight="1" x14ac:dyDescent="0.25">
      <c r="A91" s="379"/>
      <c r="B91" s="848"/>
      <c r="C91" s="848"/>
      <c r="D91" s="848"/>
      <c r="E91" s="848"/>
      <c r="F91" s="848"/>
      <c r="G91" s="848"/>
      <c r="H91" s="848"/>
      <c r="I91" s="848"/>
      <c r="J91" s="848"/>
      <c r="K91" s="848"/>
      <c r="L91" s="848"/>
      <c r="M91" s="848"/>
      <c r="N91" s="848"/>
      <c r="O91" s="848"/>
    </row>
    <row r="92" spans="1:15" ht="47.25" customHeight="1" x14ac:dyDescent="0.25">
      <c r="A92" s="379"/>
      <c r="B92" s="1372" t="s">
        <v>2225</v>
      </c>
      <c r="C92" s="1372"/>
      <c r="D92" s="1372"/>
      <c r="E92" s="1372"/>
      <c r="F92" s="1372"/>
      <c r="G92" s="1372"/>
      <c r="H92" s="1372"/>
      <c r="I92" s="1372"/>
      <c r="J92" s="1372"/>
      <c r="K92" s="1372"/>
      <c r="L92" s="1372"/>
      <c r="M92" s="1372"/>
      <c r="N92" s="1372"/>
      <c r="O92" s="1372"/>
    </row>
    <row r="93" spans="1:15" ht="32.25" customHeight="1" x14ac:dyDescent="0.25">
      <c r="A93" s="379"/>
      <c r="B93" s="1372" t="s">
        <v>2224</v>
      </c>
      <c r="C93" s="1372"/>
      <c r="D93" s="1372"/>
      <c r="E93" s="1372"/>
      <c r="F93" s="1372"/>
      <c r="G93" s="1372"/>
      <c r="H93" s="1372"/>
      <c r="I93" s="1372"/>
      <c r="J93" s="1372"/>
      <c r="K93" s="1372"/>
      <c r="L93" s="1372"/>
      <c r="M93" s="1372"/>
      <c r="N93" s="1372"/>
      <c r="O93" s="1372"/>
    </row>
    <row r="94" spans="1:15" ht="7.5" customHeight="1" x14ac:dyDescent="0.25">
      <c r="A94" s="379"/>
      <c r="B94" s="476"/>
      <c r="C94" s="849"/>
      <c r="D94" s="849"/>
      <c r="E94" s="849"/>
      <c r="F94" s="849"/>
      <c r="G94" s="849"/>
      <c r="H94" s="849"/>
      <c r="I94" s="849"/>
      <c r="J94" s="849"/>
      <c r="K94" s="849"/>
      <c r="L94" s="849"/>
      <c r="M94" s="849"/>
      <c r="N94" s="849"/>
      <c r="O94" s="379"/>
    </row>
    <row r="95" spans="1:15" x14ac:dyDescent="0.25">
      <c r="A95" s="379"/>
      <c r="B95" s="1394" t="s">
        <v>2226</v>
      </c>
      <c r="C95" s="1394"/>
      <c r="D95" s="1394"/>
      <c r="E95" s="1394"/>
      <c r="F95" s="1394"/>
      <c r="G95" s="1394"/>
      <c r="H95" s="1394"/>
      <c r="I95" s="1394"/>
      <c r="J95" s="1394"/>
      <c r="K95" s="1394"/>
      <c r="L95" s="1394"/>
      <c r="M95" s="1394"/>
      <c r="N95" s="1394"/>
      <c r="O95" s="379"/>
    </row>
    <row r="96" spans="1:15" x14ac:dyDescent="0.25">
      <c r="A96" s="379"/>
      <c r="B96" s="1394" t="s">
        <v>2227</v>
      </c>
      <c r="C96" s="1394"/>
      <c r="D96" s="1394"/>
      <c r="E96" s="1394"/>
      <c r="F96" s="1394"/>
      <c r="G96" s="1394"/>
      <c r="H96" s="1394"/>
      <c r="I96" s="1394"/>
      <c r="J96" s="1394"/>
      <c r="K96" s="1394"/>
      <c r="L96" s="1394"/>
      <c r="M96" s="1394"/>
      <c r="N96" s="1394"/>
      <c r="O96" s="379"/>
    </row>
    <row r="97" spans="1:15" x14ac:dyDescent="0.25">
      <c r="A97" s="379"/>
      <c r="B97" s="477"/>
      <c r="C97" s="977"/>
      <c r="D97" s="977"/>
      <c r="E97" s="977"/>
      <c r="F97" s="977"/>
      <c r="G97" s="977"/>
      <c r="H97" s="977"/>
      <c r="I97" s="977"/>
      <c r="J97" s="977"/>
      <c r="K97" s="977"/>
      <c r="L97" s="977"/>
      <c r="M97" s="977"/>
      <c r="N97" s="977"/>
      <c r="O97" s="379"/>
    </row>
    <row r="98" spans="1:15" ht="21" customHeight="1" x14ac:dyDescent="0.25">
      <c r="A98" s="379"/>
      <c r="B98" s="1221" t="s">
        <v>2391</v>
      </c>
      <c r="C98" s="476"/>
      <c r="D98" s="476"/>
      <c r="E98" s="476"/>
      <c r="F98" s="476"/>
      <c r="G98" s="476"/>
      <c r="H98" s="476"/>
      <c r="I98" s="476"/>
      <c r="J98" s="476"/>
      <c r="K98" s="476"/>
      <c r="L98" s="476"/>
      <c r="M98" s="476"/>
      <c r="N98" s="466"/>
      <c r="O98" s="379"/>
    </row>
    <row r="99" spans="1:15" ht="33" customHeight="1" x14ac:dyDescent="0.25">
      <c r="A99" s="379"/>
      <c r="B99" s="1372" t="s">
        <v>2693</v>
      </c>
      <c r="C99" s="1372"/>
      <c r="D99" s="1372"/>
      <c r="E99" s="1372"/>
      <c r="F99" s="1372"/>
      <c r="G99" s="1372"/>
      <c r="H99" s="1372"/>
      <c r="I99" s="1372"/>
      <c r="J99" s="1372"/>
      <c r="K99" s="1372"/>
      <c r="L99" s="1372"/>
      <c r="M99" s="1372"/>
      <c r="N99" s="1372"/>
      <c r="O99" s="1372"/>
    </row>
    <row r="100" spans="1:15" ht="15" customHeight="1" x14ac:dyDescent="0.25">
      <c r="A100" s="379"/>
      <c r="B100" s="1372" t="s">
        <v>2694</v>
      </c>
      <c r="C100" s="1372"/>
      <c r="D100" s="1372"/>
      <c r="E100" s="1372"/>
      <c r="F100" s="1372"/>
      <c r="G100" s="1372"/>
      <c r="H100" s="1372"/>
      <c r="I100" s="1372"/>
      <c r="J100" s="1372"/>
      <c r="K100" s="1372"/>
      <c r="L100" s="1372"/>
      <c r="M100" s="1372"/>
      <c r="N100" s="1372"/>
      <c r="O100" s="1372"/>
    </row>
    <row r="101" spans="1:15" ht="15" customHeight="1" x14ac:dyDescent="0.25">
      <c r="A101" s="379"/>
      <c r="B101" s="1222" t="s">
        <v>1759</v>
      </c>
      <c r="C101" s="476"/>
      <c r="D101" s="476"/>
      <c r="E101" s="476"/>
      <c r="F101" s="476"/>
      <c r="G101" s="476"/>
      <c r="H101" s="476"/>
      <c r="I101" s="476"/>
      <c r="J101" s="476"/>
      <c r="K101" s="476"/>
      <c r="L101" s="476"/>
      <c r="M101" s="476"/>
      <c r="N101" s="977"/>
      <c r="O101" s="379"/>
    </row>
    <row r="102" spans="1:15" ht="15" customHeight="1" x14ac:dyDescent="0.25">
      <c r="A102" s="379"/>
      <c r="B102" s="477" t="s">
        <v>1760</v>
      </c>
      <c r="C102" s="476"/>
      <c r="D102" s="476"/>
      <c r="E102" s="476"/>
      <c r="F102" s="476"/>
      <c r="G102" s="476"/>
      <c r="H102" s="476"/>
      <c r="I102" s="476"/>
      <c r="J102" s="476"/>
      <c r="K102" s="476"/>
      <c r="L102" s="476"/>
      <c r="M102" s="476"/>
      <c r="N102" s="977"/>
      <c r="O102" s="379"/>
    </row>
    <row r="103" spans="1:15" ht="15" customHeight="1" x14ac:dyDescent="0.25">
      <c r="A103" s="379"/>
      <c r="B103" s="477" t="s">
        <v>2228</v>
      </c>
      <c r="C103" s="476"/>
      <c r="D103" s="476"/>
      <c r="E103" s="476"/>
      <c r="F103" s="476"/>
      <c r="G103" s="476"/>
      <c r="H103" s="476"/>
      <c r="I103" s="476"/>
      <c r="J103" s="476"/>
      <c r="K103" s="476"/>
      <c r="L103" s="476"/>
      <c r="M103" s="476"/>
      <c r="N103" s="977"/>
      <c r="O103" s="379"/>
    </row>
    <row r="104" spans="1:15" ht="15" customHeight="1" x14ac:dyDescent="0.25">
      <c r="A104" s="379"/>
      <c r="B104" s="1222" t="s">
        <v>1761</v>
      </c>
      <c r="C104" s="476"/>
      <c r="D104" s="476"/>
      <c r="E104" s="476"/>
      <c r="F104" s="476"/>
      <c r="G104" s="476"/>
      <c r="H104" s="476"/>
      <c r="I104" s="476"/>
      <c r="J104" s="476"/>
      <c r="K104" s="476"/>
      <c r="L104" s="476"/>
      <c r="M104" s="476"/>
      <c r="N104" s="977"/>
      <c r="O104" s="379"/>
    </row>
    <row r="105" spans="1:15" ht="46.5" customHeight="1" x14ac:dyDescent="0.25">
      <c r="A105" s="379"/>
      <c r="B105" s="1373" t="s">
        <v>1762</v>
      </c>
      <c r="C105" s="1373"/>
      <c r="D105" s="1373"/>
      <c r="E105" s="1373"/>
      <c r="F105" s="1373"/>
      <c r="G105" s="1373"/>
      <c r="H105" s="1373"/>
      <c r="I105" s="1373"/>
      <c r="J105" s="1373"/>
      <c r="K105" s="1373"/>
      <c r="L105" s="1373"/>
      <c r="M105" s="1373"/>
      <c r="N105" s="1373"/>
      <c r="O105" s="379"/>
    </row>
    <row r="106" spans="1:15" ht="30" customHeight="1" x14ac:dyDescent="0.25">
      <c r="A106" s="379"/>
      <c r="B106" s="1373" t="s">
        <v>1763</v>
      </c>
      <c r="C106" s="1373"/>
      <c r="D106" s="1373"/>
      <c r="E106" s="1373"/>
      <c r="F106" s="1373"/>
      <c r="G106" s="1373"/>
      <c r="H106" s="1373"/>
      <c r="I106" s="1373"/>
      <c r="J106" s="1373"/>
      <c r="K106" s="1373"/>
      <c r="L106" s="1373"/>
      <c r="M106" s="1373"/>
      <c r="N106" s="1373"/>
      <c r="O106" s="379"/>
    </row>
    <row r="107" spans="1:15" ht="15.75" x14ac:dyDescent="0.25">
      <c r="A107" s="379"/>
      <c r="B107" s="1222" t="s">
        <v>1764</v>
      </c>
      <c r="C107" s="993"/>
      <c r="D107" s="993"/>
      <c r="E107" s="993"/>
      <c r="F107" s="993"/>
      <c r="G107" s="993"/>
      <c r="H107" s="993"/>
      <c r="I107" s="993"/>
      <c r="J107" s="993"/>
      <c r="K107" s="993"/>
      <c r="L107" s="993"/>
      <c r="M107" s="993"/>
      <c r="N107" s="993"/>
      <c r="O107" s="379"/>
    </row>
    <row r="108" spans="1:15" ht="15" customHeight="1" x14ac:dyDescent="0.25">
      <c r="A108" s="379"/>
      <c r="B108" s="1373" t="s">
        <v>1765</v>
      </c>
      <c r="C108" s="1373"/>
      <c r="D108" s="1373"/>
      <c r="E108" s="1373"/>
      <c r="F108" s="1373"/>
      <c r="G108" s="1373"/>
      <c r="H108" s="1373"/>
      <c r="I108" s="1373"/>
      <c r="J108" s="1373"/>
      <c r="K108" s="1373"/>
      <c r="L108" s="1373"/>
      <c r="M108" s="1373"/>
      <c r="N108" s="1373"/>
      <c r="O108" s="379"/>
    </row>
    <row r="109" spans="1:15" ht="15" customHeight="1" x14ac:dyDescent="0.25">
      <c r="A109" s="379"/>
      <c r="B109" s="1373" t="s">
        <v>1766</v>
      </c>
      <c r="C109" s="1373"/>
      <c r="D109" s="1373"/>
      <c r="E109" s="1373"/>
      <c r="F109" s="1373"/>
      <c r="G109" s="1373"/>
      <c r="H109" s="1373"/>
      <c r="I109" s="1373"/>
      <c r="J109" s="1373"/>
      <c r="K109" s="1373"/>
      <c r="L109" s="1373"/>
      <c r="M109" s="1373"/>
      <c r="N109" s="1373"/>
      <c r="O109" s="379"/>
    </row>
    <row r="110" spans="1:15" ht="9" customHeight="1" x14ac:dyDescent="0.25">
      <c r="A110" s="379"/>
      <c r="B110" s="476"/>
      <c r="C110" s="476"/>
      <c r="D110" s="476"/>
      <c r="E110" s="476"/>
      <c r="F110" s="476"/>
      <c r="G110" s="476"/>
      <c r="H110" s="476"/>
      <c r="I110" s="476"/>
      <c r="J110" s="476"/>
      <c r="K110" s="476"/>
      <c r="L110" s="476"/>
      <c r="M110" s="476"/>
      <c r="N110" s="466"/>
      <c r="O110" s="379"/>
    </row>
    <row r="111" spans="1:15" ht="21" customHeight="1" x14ac:dyDescent="0.25">
      <c r="A111" s="379"/>
      <c r="B111" s="1221" t="s">
        <v>2390</v>
      </c>
      <c r="C111" s="476"/>
      <c r="D111" s="476"/>
      <c r="E111" s="476"/>
      <c r="F111" s="476"/>
      <c r="G111" s="476"/>
      <c r="H111" s="476"/>
      <c r="I111" s="476"/>
      <c r="J111" s="476"/>
      <c r="K111" s="476"/>
      <c r="L111" s="476"/>
      <c r="M111" s="476"/>
      <c r="N111" s="466"/>
      <c r="O111" s="379"/>
    </row>
    <row r="112" spans="1:15" ht="21" customHeight="1" x14ac:dyDescent="0.25">
      <c r="A112" s="379"/>
      <c r="B112" s="1373" t="s">
        <v>2695</v>
      </c>
      <c r="C112" s="1373"/>
      <c r="D112" s="1373"/>
      <c r="E112" s="1373"/>
      <c r="F112" s="1373"/>
      <c r="G112" s="1373"/>
      <c r="H112" s="1373"/>
      <c r="I112" s="1373"/>
      <c r="J112" s="1373"/>
      <c r="K112" s="1373"/>
      <c r="L112" s="1373"/>
      <c r="M112" s="1373"/>
      <c r="N112" s="1373"/>
      <c r="O112" s="379"/>
    </row>
    <row r="113" spans="1:15" ht="20.25" customHeight="1" x14ac:dyDescent="0.25">
      <c r="A113" s="379"/>
      <c r="B113" s="1373"/>
      <c r="C113" s="1373"/>
      <c r="D113" s="1373"/>
      <c r="E113" s="1373"/>
      <c r="F113" s="1373"/>
      <c r="G113" s="1373"/>
      <c r="H113" s="1373"/>
      <c r="I113" s="1373"/>
      <c r="J113" s="1373"/>
      <c r="K113" s="1373"/>
      <c r="L113" s="1373"/>
      <c r="M113" s="1373"/>
      <c r="N113" s="1373"/>
      <c r="O113" s="379"/>
    </row>
    <row r="114" spans="1:15" ht="21" customHeight="1" x14ac:dyDescent="0.25">
      <c r="A114" s="379"/>
      <c r="B114" s="1373"/>
      <c r="C114" s="1373"/>
      <c r="D114" s="1373"/>
      <c r="E114" s="1373"/>
      <c r="F114" s="1373"/>
      <c r="G114" s="1373"/>
      <c r="H114" s="1373"/>
      <c r="I114" s="1373"/>
      <c r="J114" s="1373"/>
      <c r="K114" s="1373"/>
      <c r="L114" s="1373"/>
      <c r="M114" s="1373"/>
      <c r="N114" s="1373"/>
      <c r="O114" s="379"/>
    </row>
    <row r="115" spans="1:15" ht="9" customHeight="1" x14ac:dyDescent="0.25">
      <c r="A115" s="379"/>
      <c r="B115" s="476"/>
      <c r="C115" s="476"/>
      <c r="D115" s="476"/>
      <c r="E115" s="476"/>
      <c r="F115" s="476"/>
      <c r="G115" s="476"/>
      <c r="H115" s="476"/>
      <c r="I115" s="476"/>
      <c r="J115" s="476"/>
      <c r="K115" s="476"/>
      <c r="L115" s="476"/>
      <c r="M115" s="476"/>
      <c r="N115" s="1292"/>
      <c r="O115" s="379"/>
    </row>
    <row r="116" spans="1:15" ht="15" customHeight="1" x14ac:dyDescent="0.25">
      <c r="A116" s="379"/>
      <c r="B116" s="1373" t="s">
        <v>1767</v>
      </c>
      <c r="C116" s="1373"/>
      <c r="D116" s="1373"/>
      <c r="E116" s="1373"/>
      <c r="F116" s="1373"/>
      <c r="G116" s="1373"/>
      <c r="H116" s="1373"/>
      <c r="I116" s="1373"/>
      <c r="J116" s="1373"/>
      <c r="K116" s="1373"/>
      <c r="L116" s="1373"/>
      <c r="M116" s="1373"/>
      <c r="N116" s="1373"/>
      <c r="O116" s="379"/>
    </row>
    <row r="117" spans="1:15" ht="15" customHeight="1" x14ac:dyDescent="0.25">
      <c r="A117" s="379"/>
      <c r="B117" s="1373" t="s">
        <v>1768</v>
      </c>
      <c r="C117" s="1373"/>
      <c r="D117" s="1373"/>
      <c r="E117" s="1373"/>
      <c r="F117" s="1373"/>
      <c r="G117" s="1373"/>
      <c r="H117" s="1373"/>
      <c r="I117" s="1373"/>
      <c r="J117" s="1373"/>
      <c r="K117" s="1373"/>
      <c r="L117" s="1373"/>
      <c r="M117" s="1373"/>
      <c r="N117" s="1373"/>
      <c r="O117" s="379"/>
    </row>
    <row r="118" spans="1:15" ht="15" customHeight="1" x14ac:dyDescent="0.25">
      <c r="A118" s="379"/>
      <c r="B118" s="1396" t="s">
        <v>1769</v>
      </c>
      <c r="C118" s="1396"/>
      <c r="D118" s="1396"/>
      <c r="E118" s="1396"/>
      <c r="F118" s="1396"/>
      <c r="G118" s="1396"/>
      <c r="H118" s="1396"/>
      <c r="I118" s="1396"/>
      <c r="J118" s="1396"/>
      <c r="K118" s="1396"/>
      <c r="L118" s="1396"/>
      <c r="M118" s="1396"/>
      <c r="N118" s="1396"/>
      <c r="O118" s="379"/>
    </row>
    <row r="119" spans="1:15" ht="15" customHeight="1" x14ac:dyDescent="0.25">
      <c r="A119" s="379"/>
      <c r="B119" s="1396"/>
      <c r="C119" s="1396"/>
      <c r="D119" s="1396"/>
      <c r="E119" s="1396"/>
      <c r="F119" s="1396"/>
      <c r="G119" s="1396"/>
      <c r="H119" s="1396"/>
      <c r="I119" s="1396"/>
      <c r="J119" s="1396"/>
      <c r="K119" s="1396"/>
      <c r="L119" s="1396"/>
      <c r="M119" s="1396"/>
      <c r="N119" s="1396"/>
      <c r="O119" s="379"/>
    </row>
    <row r="120" spans="1:15" ht="15" customHeight="1" x14ac:dyDescent="0.25">
      <c r="A120" s="379"/>
      <c r="B120" s="477" t="s">
        <v>1770</v>
      </c>
      <c r="C120" s="978"/>
      <c r="D120" s="978"/>
      <c r="E120" s="978"/>
      <c r="F120" s="978"/>
      <c r="G120" s="978"/>
      <c r="H120" s="978"/>
      <c r="I120" s="978"/>
      <c r="J120" s="978"/>
      <c r="K120" s="978"/>
      <c r="L120" s="978"/>
      <c r="M120" s="978"/>
      <c r="N120" s="978"/>
      <c r="O120" s="379"/>
    </row>
    <row r="121" spans="1:15" ht="9" customHeight="1" x14ac:dyDescent="0.25">
      <c r="A121" s="379"/>
      <c r="B121" s="476"/>
      <c r="C121" s="476"/>
      <c r="D121" s="476"/>
      <c r="E121" s="476"/>
      <c r="F121" s="476"/>
      <c r="G121" s="476"/>
      <c r="H121" s="476"/>
      <c r="I121" s="476"/>
      <c r="J121" s="476"/>
      <c r="K121" s="476"/>
      <c r="L121" s="476"/>
      <c r="M121" s="476"/>
      <c r="N121" s="1292"/>
      <c r="O121" s="379"/>
    </row>
    <row r="122" spans="1:15" ht="15" customHeight="1" x14ac:dyDescent="0.25">
      <c r="A122" s="379"/>
      <c r="B122" s="1222" t="s">
        <v>1771</v>
      </c>
      <c r="C122" s="723"/>
      <c r="D122" s="723"/>
      <c r="E122" s="723"/>
      <c r="F122" s="723"/>
      <c r="G122" s="723"/>
      <c r="H122" s="723"/>
      <c r="I122" s="723"/>
      <c r="J122" s="723"/>
      <c r="K122" s="723"/>
      <c r="L122" s="723"/>
      <c r="M122" s="723"/>
      <c r="N122" s="724"/>
      <c r="O122" s="379"/>
    </row>
    <row r="123" spans="1:15" ht="15" customHeight="1" x14ac:dyDescent="0.25">
      <c r="A123" s="379"/>
      <c r="B123" s="1396" t="s">
        <v>1772</v>
      </c>
      <c r="C123" s="1396"/>
      <c r="D123" s="1396"/>
      <c r="E123" s="1396"/>
      <c r="F123" s="1396"/>
      <c r="G123" s="1396"/>
      <c r="H123" s="1396"/>
      <c r="I123" s="1396"/>
      <c r="J123" s="1396"/>
      <c r="K123" s="1396"/>
      <c r="L123" s="1396"/>
      <c r="M123" s="1396"/>
      <c r="N123" s="1396"/>
      <c r="O123" s="379"/>
    </row>
    <row r="124" spans="1:15" ht="15" customHeight="1" x14ac:dyDescent="0.25">
      <c r="A124" s="379"/>
      <c r="B124" s="1396"/>
      <c r="C124" s="1396"/>
      <c r="D124" s="1396"/>
      <c r="E124" s="1396"/>
      <c r="F124" s="1396"/>
      <c r="G124" s="1396"/>
      <c r="H124" s="1396"/>
      <c r="I124" s="1396"/>
      <c r="J124" s="1396"/>
      <c r="K124" s="1396"/>
      <c r="L124" s="1396"/>
      <c r="M124" s="1396"/>
      <c r="N124" s="1396"/>
      <c r="O124" s="379"/>
    </row>
    <row r="125" spans="1:15" ht="15" customHeight="1" x14ac:dyDescent="0.25">
      <c r="A125" s="379"/>
      <c r="B125" s="1396" t="s">
        <v>1773</v>
      </c>
      <c r="C125" s="1396"/>
      <c r="D125" s="1396"/>
      <c r="E125" s="1396"/>
      <c r="F125" s="1396"/>
      <c r="G125" s="1396"/>
      <c r="H125" s="1396"/>
      <c r="I125" s="1396"/>
      <c r="J125" s="1396"/>
      <c r="K125" s="1396"/>
      <c r="L125" s="1396"/>
      <c r="M125" s="1396"/>
      <c r="N125" s="1396"/>
      <c r="O125" s="379"/>
    </row>
    <row r="126" spans="1:15" ht="15" customHeight="1" x14ac:dyDescent="0.25">
      <c r="A126" s="379"/>
      <c r="B126" s="1396"/>
      <c r="C126" s="1396"/>
      <c r="D126" s="1396"/>
      <c r="E126" s="1396"/>
      <c r="F126" s="1396"/>
      <c r="G126" s="1396"/>
      <c r="H126" s="1396"/>
      <c r="I126" s="1396"/>
      <c r="J126" s="1396"/>
      <c r="K126" s="1396"/>
      <c r="L126" s="1396"/>
      <c r="M126" s="1396"/>
      <c r="N126" s="1396"/>
      <c r="O126" s="379"/>
    </row>
    <row r="127" spans="1:15" ht="15" customHeight="1" x14ac:dyDescent="0.25">
      <c r="A127" s="379"/>
      <c r="B127" s="978"/>
      <c r="C127" s="978"/>
      <c r="D127" s="978"/>
      <c r="E127" s="978"/>
      <c r="F127" s="978"/>
      <c r="G127" s="978"/>
      <c r="H127" s="978"/>
      <c r="I127" s="978"/>
      <c r="J127" s="978"/>
      <c r="K127" s="978"/>
      <c r="L127" s="978"/>
      <c r="M127" s="978"/>
      <c r="N127" s="978"/>
      <c r="O127" s="379"/>
    </row>
    <row r="128" spans="1:15" ht="20.25" customHeight="1" x14ac:dyDescent="0.25">
      <c r="A128" s="379"/>
      <c r="B128" s="1397" t="s">
        <v>743</v>
      </c>
      <c r="C128" s="1397"/>
      <c r="D128" s="1397"/>
      <c r="E128" s="1397"/>
      <c r="F128" s="723"/>
      <c r="G128" s="723"/>
      <c r="H128" s="723"/>
      <c r="I128" s="723"/>
      <c r="J128" s="723"/>
      <c r="K128" s="723"/>
      <c r="L128" s="723"/>
      <c r="M128" s="723"/>
      <c r="N128" s="724"/>
      <c r="O128" s="379"/>
    </row>
    <row r="129" spans="1:15" ht="15" customHeight="1" x14ac:dyDescent="0.25">
      <c r="A129" s="379"/>
      <c r="B129" s="723"/>
      <c r="C129" s="723"/>
      <c r="D129" s="723"/>
      <c r="E129" s="723"/>
      <c r="F129" s="723"/>
      <c r="G129" s="723"/>
      <c r="H129" s="723"/>
      <c r="I129" s="723"/>
      <c r="J129" s="723"/>
      <c r="K129" s="723"/>
      <c r="L129" s="723"/>
      <c r="M129" s="723"/>
      <c r="N129" s="724"/>
      <c r="O129" s="379"/>
    </row>
    <row r="130" spans="1:15" ht="15" customHeight="1" x14ac:dyDescent="0.25">
      <c r="A130" s="379"/>
      <c r="B130" s="747" t="s">
        <v>1197</v>
      </c>
      <c r="C130" s="476"/>
      <c r="D130" s="476"/>
      <c r="E130" s="476"/>
      <c r="F130" s="476"/>
      <c r="G130" s="476"/>
      <c r="H130" s="476"/>
      <c r="I130" s="476"/>
      <c r="J130" s="476"/>
      <c r="K130" s="476"/>
      <c r="L130" s="476"/>
      <c r="M130" s="476"/>
      <c r="N130" s="476"/>
      <c r="O130" s="9"/>
    </row>
    <row r="131" spans="1:15" ht="15" customHeight="1" x14ac:dyDescent="0.25">
      <c r="A131" s="379"/>
      <c r="B131" s="1392" t="s">
        <v>2270</v>
      </c>
      <c r="C131" s="1392"/>
      <c r="D131" s="1392"/>
      <c r="E131" s="1392"/>
      <c r="F131" s="1392"/>
      <c r="G131" s="1392"/>
      <c r="H131" s="1392"/>
      <c r="I131" s="1392"/>
      <c r="J131" s="1392"/>
      <c r="K131" s="1392"/>
      <c r="L131" s="1392"/>
      <c r="M131" s="1392"/>
      <c r="N131" s="1392"/>
      <c r="O131" s="9"/>
    </row>
    <row r="132" spans="1:15" ht="15" customHeight="1" x14ac:dyDescent="0.25">
      <c r="A132" s="379"/>
      <c r="B132" s="1393" t="s">
        <v>2273</v>
      </c>
      <c r="C132" s="1393"/>
      <c r="D132" s="1393"/>
      <c r="E132" s="1393"/>
      <c r="F132" s="1393"/>
      <c r="G132" s="1393"/>
      <c r="H132" s="1393"/>
      <c r="I132" s="1393"/>
      <c r="J132" s="1393"/>
      <c r="K132" s="1393"/>
      <c r="L132" s="1393"/>
      <c r="M132" s="1393"/>
      <c r="N132" s="1393"/>
      <c r="O132" s="9"/>
    </row>
    <row r="133" spans="1:15" ht="15" customHeight="1" x14ac:dyDescent="0.25">
      <c r="A133" s="379"/>
      <c r="B133" s="1393" t="s">
        <v>1198</v>
      </c>
      <c r="C133" s="1393"/>
      <c r="D133" s="1393"/>
      <c r="E133" s="1393"/>
      <c r="F133" s="1393"/>
      <c r="G133" s="1393"/>
      <c r="H133" s="1393"/>
      <c r="I133" s="1393"/>
      <c r="J133" s="1393"/>
      <c r="K133" s="1393"/>
      <c r="L133" s="1393"/>
      <c r="M133" s="1393"/>
      <c r="N133" s="1393"/>
      <c r="O133" s="9"/>
    </row>
    <row r="134" spans="1:15" ht="15" customHeight="1" x14ac:dyDescent="0.25">
      <c r="A134" s="379"/>
      <c r="B134" s="475" t="s">
        <v>1199</v>
      </c>
      <c r="C134" s="476"/>
      <c r="D134" s="476"/>
      <c r="E134" s="476"/>
      <c r="F134" s="476"/>
      <c r="G134" s="476"/>
      <c r="H134" s="476"/>
      <c r="I134" s="476"/>
      <c r="J134" s="476"/>
      <c r="K134" s="476"/>
      <c r="L134" s="476"/>
      <c r="M134" s="476"/>
      <c r="N134" s="476"/>
      <c r="O134" s="9"/>
    </row>
    <row r="135" spans="1:15" ht="15" customHeight="1" x14ac:dyDescent="0.25">
      <c r="A135" s="379"/>
      <c r="B135" s="475"/>
      <c r="C135" s="476"/>
      <c r="D135" s="476"/>
      <c r="E135" s="476"/>
      <c r="F135" s="476"/>
      <c r="G135" s="476"/>
      <c r="H135" s="476"/>
      <c r="I135" s="476"/>
      <c r="J135" s="476"/>
      <c r="K135" s="476"/>
      <c r="L135" s="476"/>
      <c r="M135" s="476"/>
      <c r="N135" s="476"/>
      <c r="O135" s="9"/>
    </row>
    <row r="136" spans="1:15" ht="15" customHeight="1" x14ac:dyDescent="0.25">
      <c r="A136" s="379"/>
      <c r="B136" s="747" t="s">
        <v>1200</v>
      </c>
      <c r="C136" s="476"/>
      <c r="D136" s="476"/>
      <c r="E136" s="476"/>
      <c r="F136" s="476"/>
      <c r="G136" s="476"/>
      <c r="H136" s="476"/>
      <c r="I136" s="476"/>
      <c r="J136" s="476"/>
      <c r="K136" s="476"/>
      <c r="L136" s="476"/>
      <c r="M136" s="476"/>
      <c r="N136" s="476"/>
      <c r="O136" s="9"/>
    </row>
    <row r="137" spans="1:15" ht="15" customHeight="1" x14ac:dyDescent="0.25">
      <c r="A137" s="379"/>
      <c r="B137" s="1392" t="s">
        <v>1201</v>
      </c>
      <c r="C137" s="1392"/>
      <c r="D137" s="1392"/>
      <c r="E137" s="1392"/>
      <c r="F137" s="1392"/>
      <c r="G137" s="1392"/>
      <c r="H137" s="1392"/>
      <c r="I137" s="1392"/>
      <c r="J137" s="1392"/>
      <c r="K137" s="1392"/>
      <c r="L137" s="1392"/>
      <c r="M137" s="1392"/>
      <c r="N137" s="1392"/>
      <c r="O137" s="1219"/>
    </row>
    <row r="138" spans="1:15" ht="15" customHeight="1" x14ac:dyDescent="0.25">
      <c r="A138" s="379"/>
      <c r="B138" s="1395"/>
      <c r="C138" s="1395"/>
      <c r="D138" s="1395"/>
      <c r="E138" s="1395"/>
      <c r="F138" s="1395"/>
      <c r="G138" s="1395"/>
      <c r="H138" s="1395"/>
      <c r="I138" s="1395"/>
      <c r="J138" s="1395"/>
      <c r="K138" s="1395"/>
      <c r="L138" s="1395"/>
      <c r="M138" s="1395"/>
      <c r="N138" s="1395"/>
      <c r="O138" s="1395"/>
    </row>
    <row r="139" spans="1:15" ht="15" customHeight="1" x14ac:dyDescent="0.25">
      <c r="A139" s="379"/>
      <c r="B139" s="747" t="s">
        <v>1202</v>
      </c>
      <c r="C139" s="9"/>
      <c r="D139" s="9"/>
      <c r="E139" s="9"/>
      <c r="F139" s="9"/>
      <c r="G139" s="9"/>
      <c r="H139" s="9"/>
      <c r="I139" s="9"/>
      <c r="J139" s="9"/>
      <c r="K139" s="9"/>
      <c r="L139" s="9"/>
      <c r="M139" s="9"/>
      <c r="N139" s="9"/>
      <c r="O139" s="9"/>
    </row>
    <row r="140" spans="1:15" ht="33.75" customHeight="1" x14ac:dyDescent="0.25">
      <c r="A140" s="379"/>
      <c r="B140" s="1392" t="s">
        <v>2269</v>
      </c>
      <c r="C140" s="1392"/>
      <c r="D140" s="1392"/>
      <c r="E140" s="1392"/>
      <c r="F140" s="1392"/>
      <c r="G140" s="1392"/>
      <c r="H140" s="1392"/>
      <c r="I140" s="1392"/>
      <c r="J140" s="1392"/>
      <c r="K140" s="1392"/>
      <c r="L140" s="1392"/>
      <c r="M140" s="1392"/>
      <c r="N140" s="1392"/>
      <c r="O140" s="1173"/>
    </row>
    <row r="141" spans="1:15" ht="34.5" customHeight="1" x14ac:dyDescent="0.25">
      <c r="A141" s="379"/>
      <c r="B141" s="1392" t="s">
        <v>2274</v>
      </c>
      <c r="C141" s="1392"/>
      <c r="D141" s="1392"/>
      <c r="E141" s="1392"/>
      <c r="F141" s="1392"/>
      <c r="G141" s="1392"/>
      <c r="H141" s="1392"/>
      <c r="I141" s="1392"/>
      <c r="J141" s="1392"/>
      <c r="K141" s="1392"/>
      <c r="L141" s="1392"/>
      <c r="M141" s="1392"/>
      <c r="N141" s="1392"/>
      <c r="O141" s="1173"/>
    </row>
    <row r="142" spans="1:15" ht="15" customHeight="1" x14ac:dyDescent="0.25">
      <c r="A142" s="379"/>
      <c r="B142" s="9"/>
      <c r="C142" s="9"/>
      <c r="D142" s="9"/>
      <c r="E142" s="9"/>
      <c r="F142" s="9"/>
      <c r="G142" s="9"/>
      <c r="H142" s="9"/>
      <c r="I142" s="9"/>
      <c r="J142" s="9"/>
      <c r="K142" s="9"/>
      <c r="L142" s="9"/>
      <c r="M142" s="9"/>
      <c r="N142" s="9"/>
      <c r="O142" s="9"/>
    </row>
    <row r="143" spans="1:15" ht="15" customHeight="1" x14ac:dyDescent="0.25">
      <c r="A143" s="379"/>
      <c r="B143" s="747" t="s">
        <v>1203</v>
      </c>
      <c r="C143" s="9"/>
      <c r="D143" s="9"/>
      <c r="E143" s="9"/>
      <c r="F143" s="9"/>
      <c r="G143" s="9"/>
      <c r="H143" s="9"/>
      <c r="I143" s="9"/>
      <c r="J143" s="9"/>
      <c r="K143" s="9"/>
      <c r="L143" s="9"/>
      <c r="M143" s="9"/>
      <c r="N143" s="9"/>
      <c r="O143" s="9"/>
    </row>
    <row r="144" spans="1:15" ht="15" customHeight="1" x14ac:dyDescent="0.25">
      <c r="A144" s="379"/>
      <c r="B144" s="1392" t="s">
        <v>2696</v>
      </c>
      <c r="C144" s="1392"/>
      <c r="D144" s="1392"/>
      <c r="E144" s="1392"/>
      <c r="F144" s="1392"/>
      <c r="G144" s="1392"/>
      <c r="H144" s="1392"/>
      <c r="I144" s="1392"/>
      <c r="J144" s="1392"/>
      <c r="K144" s="1392"/>
      <c r="L144" s="1392"/>
      <c r="M144" s="1392"/>
      <c r="N144" s="1392"/>
      <c r="O144" s="9"/>
    </row>
    <row r="145" spans="1:15" ht="15" customHeight="1" x14ac:dyDescent="0.25">
      <c r="A145" s="379"/>
      <c r="B145" s="9"/>
      <c r="C145" s="9"/>
      <c r="D145" s="9"/>
      <c r="E145" s="9"/>
      <c r="F145" s="9"/>
      <c r="G145" s="9"/>
      <c r="H145" s="9"/>
      <c r="I145" s="9"/>
      <c r="J145" s="9"/>
      <c r="K145" s="9"/>
      <c r="L145" s="9"/>
      <c r="M145" s="9"/>
      <c r="N145" s="9"/>
      <c r="O145" s="9"/>
    </row>
    <row r="146" spans="1:15" ht="15" customHeight="1" x14ac:dyDescent="0.25">
      <c r="A146" s="379"/>
      <c r="B146" s="747" t="s">
        <v>2271</v>
      </c>
      <c r="C146" s="9"/>
      <c r="D146" s="9"/>
      <c r="E146" s="9"/>
      <c r="F146" s="9"/>
      <c r="G146" s="9"/>
      <c r="H146" s="9"/>
      <c r="I146" s="9"/>
      <c r="J146" s="9"/>
      <c r="K146" s="9"/>
      <c r="L146" s="9"/>
      <c r="M146" s="9"/>
      <c r="N146" s="9"/>
      <c r="O146" s="9"/>
    </row>
    <row r="147" spans="1:15" ht="15" customHeight="1" x14ac:dyDescent="0.25">
      <c r="A147" s="379"/>
      <c r="B147" s="751" t="s">
        <v>1204</v>
      </c>
      <c r="C147" s="9"/>
      <c r="D147" s="9"/>
      <c r="E147" s="9"/>
      <c r="F147" s="9"/>
      <c r="G147" s="9"/>
      <c r="H147" s="9"/>
      <c r="I147" s="9"/>
      <c r="J147" s="9"/>
      <c r="K147" s="9"/>
      <c r="L147" s="9"/>
      <c r="M147" s="9"/>
      <c r="N147" s="9"/>
      <c r="O147" s="9"/>
    </row>
    <row r="148" spans="1:15" ht="15" customHeight="1" x14ac:dyDescent="0.25">
      <c r="A148" s="379"/>
      <c r="B148" s="1393" t="s">
        <v>2272</v>
      </c>
      <c r="C148" s="1393"/>
      <c r="D148" s="1393"/>
      <c r="E148" s="1393"/>
      <c r="F148" s="1393"/>
      <c r="G148" s="1393"/>
      <c r="H148" s="1393"/>
      <c r="I148" s="1393"/>
      <c r="J148" s="1393"/>
      <c r="K148" s="1393"/>
      <c r="L148" s="1393"/>
      <c r="M148" s="1393"/>
      <c r="N148" s="1393"/>
      <c r="O148" s="9"/>
    </row>
    <row r="149" spans="1:15" ht="15" customHeight="1" x14ac:dyDescent="0.25">
      <c r="A149" s="379"/>
      <c r="B149" s="1393" t="s">
        <v>1611</v>
      </c>
      <c r="C149" s="1393"/>
      <c r="D149" s="1393"/>
      <c r="E149" s="1393"/>
      <c r="F149" s="1393"/>
      <c r="G149" s="1393"/>
      <c r="H149" s="1393"/>
      <c r="I149" s="1393"/>
      <c r="J149" s="1393"/>
      <c r="K149" s="1393"/>
      <c r="L149" s="1393"/>
      <c r="M149" s="1393"/>
      <c r="N149" s="1393"/>
      <c r="O149" s="1220"/>
    </row>
    <row r="150" spans="1:15" ht="15" customHeight="1" x14ac:dyDescent="0.25">
      <c r="A150" s="379"/>
      <c r="B150" s="723"/>
      <c r="C150" s="723"/>
      <c r="D150" s="723"/>
      <c r="E150" s="723"/>
      <c r="F150" s="723"/>
      <c r="G150" s="723"/>
      <c r="H150" s="723"/>
      <c r="I150" s="723"/>
      <c r="J150" s="723"/>
      <c r="K150" s="723"/>
      <c r="L150" s="723"/>
      <c r="M150" s="723"/>
      <c r="N150" s="724"/>
      <c r="O150" s="379"/>
    </row>
    <row r="151" spans="1:15" ht="15" customHeight="1" x14ac:dyDescent="0.25">
      <c r="A151" s="379"/>
      <c r="B151" s="466"/>
      <c r="C151" s="466"/>
      <c r="D151" s="466"/>
      <c r="E151" s="466"/>
      <c r="F151" s="466"/>
      <c r="G151" s="466"/>
      <c r="H151" s="466"/>
      <c r="I151" s="466"/>
      <c r="J151" s="466"/>
      <c r="K151" s="466"/>
      <c r="L151" s="466"/>
      <c r="M151" s="466"/>
      <c r="N151" s="466"/>
      <c r="O151" s="379"/>
    </row>
    <row r="152" spans="1:15" ht="15" hidden="1" customHeight="1" x14ac:dyDescent="0.25">
      <c r="A152" s="379"/>
      <c r="B152" s="466"/>
      <c r="C152" s="466"/>
      <c r="D152" s="466"/>
      <c r="E152" s="466"/>
      <c r="F152" s="466"/>
      <c r="G152" s="466"/>
      <c r="H152" s="466"/>
      <c r="I152" s="466"/>
      <c r="J152" s="466"/>
      <c r="K152" s="466"/>
      <c r="L152" s="466"/>
      <c r="M152" s="466"/>
      <c r="N152" s="466"/>
      <c r="O152" s="379"/>
    </row>
    <row r="153" spans="1:15" ht="15" hidden="1" customHeight="1" x14ac:dyDescent="0.25">
      <c r="A153" s="36"/>
      <c r="B153" s="422"/>
      <c r="C153" s="422"/>
      <c r="D153" s="422"/>
      <c r="E153" s="422"/>
      <c r="F153" s="422"/>
      <c r="G153" s="422"/>
      <c r="H153" s="422"/>
      <c r="I153" s="422"/>
      <c r="J153" s="422"/>
      <c r="K153" s="422"/>
      <c r="L153" s="422"/>
      <c r="M153" s="422"/>
      <c r="N153" s="422"/>
      <c r="O153" s="36"/>
    </row>
    <row r="154" spans="1:15" ht="18.75" hidden="1" x14ac:dyDescent="0.3">
      <c r="A154" s="36"/>
      <c r="B154" s="39"/>
      <c r="C154" s="38"/>
      <c r="D154" s="38"/>
      <c r="E154" s="38"/>
      <c r="F154" s="38"/>
      <c r="G154" s="38"/>
      <c r="H154" s="38"/>
      <c r="I154" s="38"/>
      <c r="J154" s="38"/>
      <c r="K154" s="38"/>
      <c r="L154" s="38"/>
      <c r="M154" s="38"/>
      <c r="N154" s="38"/>
      <c r="O154" s="36"/>
    </row>
    <row r="155" spans="1:15" ht="18.75" hidden="1" x14ac:dyDescent="0.3">
      <c r="A155" s="36"/>
      <c r="B155" s="39"/>
      <c r="C155" s="38"/>
      <c r="D155" s="38"/>
      <c r="E155" s="38"/>
      <c r="F155" s="38"/>
      <c r="G155" s="38"/>
      <c r="H155" s="38"/>
      <c r="I155" s="38"/>
      <c r="J155" s="38"/>
      <c r="K155" s="38"/>
      <c r="L155" s="38"/>
      <c r="M155" s="38"/>
      <c r="N155" s="38"/>
      <c r="O155" s="36"/>
    </row>
    <row r="156" spans="1:15" ht="18.75" hidden="1" x14ac:dyDescent="0.3">
      <c r="A156" s="36"/>
      <c r="B156" s="39"/>
      <c r="C156" s="38"/>
      <c r="D156" s="38"/>
      <c r="E156" s="38"/>
      <c r="F156" s="38"/>
      <c r="G156" s="38"/>
      <c r="H156" s="38"/>
      <c r="I156" s="38"/>
      <c r="J156" s="38"/>
      <c r="K156" s="38"/>
      <c r="L156" s="38"/>
      <c r="M156" s="38"/>
      <c r="N156" s="38"/>
      <c r="O156" s="36"/>
    </row>
    <row r="157" spans="1:15" ht="18.75" hidden="1" x14ac:dyDescent="0.3">
      <c r="A157" s="36"/>
      <c r="B157" s="39"/>
      <c r="C157" s="38"/>
      <c r="D157" s="38"/>
      <c r="E157" s="38"/>
      <c r="F157" s="38"/>
      <c r="G157" s="38"/>
      <c r="H157" s="38"/>
      <c r="I157" s="38"/>
      <c r="J157" s="38"/>
      <c r="K157" s="38"/>
      <c r="L157" s="38"/>
      <c r="M157" s="38"/>
      <c r="N157" s="38"/>
      <c r="O157" s="36"/>
    </row>
    <row r="158" spans="1:15" ht="18.75" hidden="1" x14ac:dyDescent="0.3">
      <c r="A158" s="36"/>
      <c r="B158" s="39"/>
      <c r="C158" s="38"/>
      <c r="D158" s="38"/>
      <c r="E158" s="38"/>
      <c r="F158" s="38"/>
      <c r="G158" s="38"/>
      <c r="H158" s="38"/>
      <c r="I158" s="38"/>
      <c r="J158" s="38"/>
      <c r="K158" s="38"/>
      <c r="L158" s="38"/>
      <c r="M158" s="38"/>
      <c r="N158" s="38"/>
      <c r="O158" s="36"/>
    </row>
    <row r="159" spans="1:15" ht="18.75" hidden="1" x14ac:dyDescent="0.3">
      <c r="A159" s="36"/>
      <c r="B159" s="39"/>
      <c r="C159" s="38"/>
      <c r="D159" s="38"/>
      <c r="E159" s="38"/>
      <c r="F159" s="38"/>
      <c r="G159" s="38"/>
      <c r="H159" s="38"/>
      <c r="I159" s="38"/>
      <c r="J159" s="38"/>
      <c r="K159" s="38"/>
      <c r="L159" s="38"/>
      <c r="M159" s="38"/>
      <c r="N159" s="38"/>
      <c r="O159" s="36"/>
    </row>
    <row r="160" spans="1:15" hidden="1" x14ac:dyDescent="0.25">
      <c r="A160" s="36"/>
      <c r="B160" s="40"/>
      <c r="C160" s="40"/>
      <c r="D160" s="40"/>
      <c r="E160" s="40"/>
      <c r="F160" s="40"/>
      <c r="G160" s="291"/>
      <c r="H160" s="40"/>
      <c r="I160" s="40"/>
      <c r="J160" s="40"/>
      <c r="K160" s="40"/>
      <c r="L160" s="40"/>
      <c r="M160" s="55"/>
      <c r="N160" s="38"/>
      <c r="O160" s="36"/>
    </row>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sheetData>
  <sheetProtection algorithmName="SHA-512" hashValue="Vhhm2UY79exJxdSl6UAUbIcOAJj8+SiH6GLY8P//jBT+Ix/3abbC0aJoNaFE+vgQObQ7eqje68HFWM6h84F1fw==" saltValue="qHL16JTXRAWHAx6rkjnUnA==" spinCount="100000" sheet="1" objects="1" scenarios="1"/>
  <mergeCells count="74">
    <mergeCell ref="B141:N141"/>
    <mergeCell ref="B131:N131"/>
    <mergeCell ref="B109:N109"/>
    <mergeCell ref="B116:N116"/>
    <mergeCell ref="B123:N124"/>
    <mergeCell ref="B125:N126"/>
    <mergeCell ref="B128:E128"/>
    <mergeCell ref="B137:N137"/>
    <mergeCell ref="B118:N119"/>
    <mergeCell ref="B144:N144"/>
    <mergeCell ref="B149:N149"/>
    <mergeCell ref="B43:N43"/>
    <mergeCell ref="B45:E45"/>
    <mergeCell ref="B47:N47"/>
    <mergeCell ref="B48:N48"/>
    <mergeCell ref="B50:F50"/>
    <mergeCell ref="B148:N148"/>
    <mergeCell ref="B132:N132"/>
    <mergeCell ref="B133:N133"/>
    <mergeCell ref="B117:N117"/>
    <mergeCell ref="B95:N95"/>
    <mergeCell ref="B96:N96"/>
    <mergeCell ref="B108:N108"/>
    <mergeCell ref="B138:O138"/>
    <mergeCell ref="B140:N140"/>
    <mergeCell ref="B40:N40"/>
    <mergeCell ref="B26:E26"/>
    <mergeCell ref="B28:N28"/>
    <mergeCell ref="B29:N29"/>
    <mergeCell ref="B30:N30"/>
    <mergeCell ref="B31:N31"/>
    <mergeCell ref="B32:N32"/>
    <mergeCell ref="B33:N33"/>
    <mergeCell ref="B35:N35"/>
    <mergeCell ref="B36:N36"/>
    <mergeCell ref="B38:E38"/>
    <mergeCell ref="B8:N8"/>
    <mergeCell ref="J1:O1"/>
    <mergeCell ref="J2:K2"/>
    <mergeCell ref="D3:E3"/>
    <mergeCell ref="D4:E4"/>
    <mergeCell ref="D5:E5"/>
    <mergeCell ref="A1:I1"/>
    <mergeCell ref="B2:C2"/>
    <mergeCell ref="B3:C3"/>
    <mergeCell ref="B4:C4"/>
    <mergeCell ref="B5:C5"/>
    <mergeCell ref="D2:E2"/>
    <mergeCell ref="B10:E10"/>
    <mergeCell ref="B12:N12"/>
    <mergeCell ref="B13:N13"/>
    <mergeCell ref="B14:N14"/>
    <mergeCell ref="B15:N15"/>
    <mergeCell ref="B21:E21"/>
    <mergeCell ref="B16:N16"/>
    <mergeCell ref="B17:N17"/>
    <mergeCell ref="B23:N23"/>
    <mergeCell ref="B24:N24"/>
    <mergeCell ref="B99:O99"/>
    <mergeCell ref="B100:O100"/>
    <mergeCell ref="B112:N114"/>
    <mergeCell ref="B18:N18"/>
    <mergeCell ref="B105:N105"/>
    <mergeCell ref="B106:N106"/>
    <mergeCell ref="B19:M19"/>
    <mergeCell ref="B34:N34"/>
    <mergeCell ref="B92:O92"/>
    <mergeCell ref="B93:O93"/>
    <mergeCell ref="B90:O90"/>
    <mergeCell ref="B88:O88"/>
    <mergeCell ref="B89:O89"/>
    <mergeCell ref="B68:E68"/>
    <mergeCell ref="B52:N52"/>
    <mergeCell ref="B53:N53"/>
  </mergeCells>
  <hyperlinks>
    <hyperlink ref="B3" location="Instructions!B16" tooltip="How to use this tool?" display="2. How to use this tool?"/>
    <hyperlink ref="B2" location="Instructions!B8" tooltip="General" display="1. General"/>
    <hyperlink ref="B4" location="Instructions!B35" tooltip="LOTUS Homes Submissions" display="3. LOTUS Homes Submissions"/>
    <hyperlink ref="B4:E4" location="Instructions!B32" tooltip="Credit Compliance" display="3. Credit Compliance"/>
    <hyperlink ref="B3:E3" location="Recommendations!B18" tooltip="Selection of targeted credits" display="2. Selection of targeted credits"/>
    <hyperlink ref="B5" location="Instructions!B35" tooltip="LOTUS Homes Submissions" display="3. LOTUS Homes Submissions"/>
    <hyperlink ref="B5:E5" location="Instructions!B32" tooltip="Credit Compliance" display="3. Credit Compliance"/>
    <hyperlink ref="D3" location="Instructions!B16" tooltip="How to use this tool?" display="2. How to use this tool?"/>
    <hyperlink ref="D2" location="Instructions!B8" tooltip="General" display="1. General"/>
    <hyperlink ref="D4" location="Instructions!B35" tooltip="LOTUS Homes Submissions" display="3. LOTUS Homes Submissions"/>
    <hyperlink ref="D4:E4" location="Introduction!B68" tooltip="Certification Process" display="7. Certification Process"/>
    <hyperlink ref="D3:E3" location="Introduction!B50" tooltip="Certification Levels" display="6. Certification Levels"/>
    <hyperlink ref="D5" location="Instructions!B35" tooltip="LOTUS Homes Submissions" display="3. LOTUS Homes Submissions"/>
    <hyperlink ref="B2:C2" location="Introduction!B10" tooltip="Scope" display="1. Scope"/>
    <hyperlink ref="B3:C3" location="Introduction!B21" tooltip="Eligibility" display="2. Eligibility"/>
    <hyperlink ref="B4:C4" location="Introduction!B26" tooltip="Categories" display="3. Categories"/>
    <hyperlink ref="B5:C5" location="Introduction!B38" tooltip="Credits" display="4. Credits"/>
    <hyperlink ref="D2:E2" location="Introduction!B45" tooltip="Prerequisites " display="5. Prerequisites "/>
    <hyperlink ref="D5:E5" location="Introduction!B128" tooltip="Submissions" display="8. Submissions"/>
  </hyperlinks>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43634"/>
  </sheetPr>
  <dimension ref="A1:W330"/>
  <sheetViews>
    <sheetView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3.7109375" style="37" customWidth="1"/>
    <col min="2" max="3" width="18.28515625" style="37" customWidth="1"/>
    <col min="4" max="4" width="18.5703125" style="37" customWidth="1"/>
    <col min="5" max="5" width="21.140625" style="37" customWidth="1"/>
    <col min="6" max="6" width="19.140625" style="37" customWidth="1"/>
    <col min="7" max="7" width="19.42578125" style="37" customWidth="1"/>
    <col min="8" max="8" width="23.85546875" style="37" customWidth="1"/>
    <col min="9" max="9" width="20.85546875" style="37" customWidth="1"/>
    <col min="10" max="10" width="8" style="37" customWidth="1"/>
    <col min="11" max="13" width="7.28515625" style="37" customWidth="1"/>
    <col min="14" max="23" width="0" style="37" hidden="1" customWidth="1"/>
    <col min="24" max="16384" width="9.140625" style="37" hidden="1"/>
  </cols>
  <sheetData>
    <row r="1" spans="1:14" ht="23.25" x14ac:dyDescent="0.25">
      <c r="A1" s="2104" t="s">
        <v>561</v>
      </c>
      <c r="B1" s="2104"/>
      <c r="C1" s="2104"/>
      <c r="D1" s="2104"/>
      <c r="E1" s="2104"/>
      <c r="F1" s="2104"/>
      <c r="G1" s="2104"/>
      <c r="H1" s="2104"/>
      <c r="I1" s="2104"/>
      <c r="J1" s="2104"/>
      <c r="K1" s="2104"/>
      <c r="L1" s="2104"/>
      <c r="M1" s="2104"/>
    </row>
    <row r="2" spans="1:14" ht="15" customHeight="1" x14ac:dyDescent="0.25">
      <c r="A2" s="48"/>
      <c r="B2" s="49"/>
      <c r="C2" s="49"/>
      <c r="D2" s="49"/>
      <c r="E2" s="49"/>
      <c r="F2" s="48"/>
      <c r="G2" s="48"/>
      <c r="H2" s="1694" t="s">
        <v>1702</v>
      </c>
      <c r="I2" s="1694"/>
      <c r="J2" s="752" t="s">
        <v>340</v>
      </c>
      <c r="K2" s="752" t="s">
        <v>35</v>
      </c>
      <c r="L2" s="752" t="s">
        <v>313</v>
      </c>
      <c r="M2" s="752" t="s">
        <v>317</v>
      </c>
    </row>
    <row r="3" spans="1:14" ht="15" customHeight="1" x14ac:dyDescent="0.25">
      <c r="A3" s="48"/>
      <c r="B3" s="49"/>
      <c r="C3" s="49"/>
      <c r="D3" s="49"/>
      <c r="E3" s="49"/>
      <c r="F3" s="48"/>
      <c r="G3" s="48"/>
      <c r="H3" s="1694"/>
      <c r="I3" s="1694"/>
      <c r="J3" s="752" t="s">
        <v>30</v>
      </c>
      <c r="K3" s="752" t="s">
        <v>37</v>
      </c>
      <c r="L3" s="752" t="s">
        <v>314</v>
      </c>
      <c r="M3" s="752" t="s">
        <v>318</v>
      </c>
    </row>
    <row r="4" spans="1:14" ht="15" customHeight="1" x14ac:dyDescent="0.25">
      <c r="A4" s="48"/>
      <c r="B4" s="49"/>
      <c r="C4" s="49"/>
      <c r="D4" s="49"/>
      <c r="E4" s="49"/>
      <c r="F4" s="48"/>
      <c r="G4" s="48"/>
      <c r="H4" s="1695"/>
      <c r="I4" s="1695"/>
      <c r="J4" s="752" t="s">
        <v>32</v>
      </c>
      <c r="K4" s="752" t="s">
        <v>248</v>
      </c>
      <c r="L4" s="752" t="s">
        <v>315</v>
      </c>
      <c r="M4" s="752" t="s">
        <v>319</v>
      </c>
    </row>
    <row r="5" spans="1:14" ht="21" customHeight="1" x14ac:dyDescent="0.25">
      <c r="A5" s="1704" t="s">
        <v>2840</v>
      </c>
      <c r="B5" s="1705"/>
      <c r="C5" s="1705"/>
      <c r="D5" s="1705"/>
      <c r="E5" s="1705"/>
      <c r="F5" s="1705"/>
      <c r="G5" s="1705"/>
      <c r="H5" s="1705"/>
      <c r="I5" s="1705"/>
      <c r="J5" s="1705"/>
      <c r="K5" s="1705"/>
      <c r="L5" s="1705"/>
      <c r="M5" s="1706"/>
    </row>
    <row r="6" spans="1:14" ht="21" customHeight="1" x14ac:dyDescent="0.25">
      <c r="A6" s="1707"/>
      <c r="B6" s="1708"/>
      <c r="C6" s="1708"/>
      <c r="D6" s="1708"/>
      <c r="E6" s="1708"/>
      <c r="F6" s="1708"/>
      <c r="G6" s="1708"/>
      <c r="H6" s="1708"/>
      <c r="I6" s="1708"/>
      <c r="J6" s="1708"/>
      <c r="K6" s="1708"/>
      <c r="L6" s="1708"/>
      <c r="M6" s="1709"/>
    </row>
    <row r="7" spans="1:14" ht="21" customHeight="1" x14ac:dyDescent="0.25">
      <c r="A7" s="1710"/>
      <c r="B7" s="1711"/>
      <c r="C7" s="1711"/>
      <c r="D7" s="1711"/>
      <c r="E7" s="1711"/>
      <c r="F7" s="1711"/>
      <c r="G7" s="1711"/>
      <c r="H7" s="1711"/>
      <c r="I7" s="1711"/>
      <c r="J7" s="1711"/>
      <c r="K7" s="1711"/>
      <c r="L7" s="1711"/>
      <c r="M7" s="1712"/>
    </row>
    <row r="8" spans="1:14" ht="12" customHeight="1" x14ac:dyDescent="0.25">
      <c r="A8" s="48"/>
      <c r="B8" s="49"/>
      <c r="C8" s="49"/>
      <c r="D8" s="49"/>
      <c r="E8" s="49"/>
      <c r="F8" s="48"/>
      <c r="G8" s="48"/>
      <c r="H8" s="48"/>
      <c r="I8" s="48"/>
      <c r="J8" s="48"/>
      <c r="K8" s="48"/>
      <c r="L8" s="48"/>
      <c r="M8" s="48"/>
    </row>
    <row r="9" spans="1:14" ht="18" customHeight="1" x14ac:dyDescent="0.25">
      <c r="A9" s="2092" t="s">
        <v>95</v>
      </c>
      <c r="B9" s="2092"/>
      <c r="C9" s="2092"/>
      <c r="D9" s="2092"/>
      <c r="E9" s="2092"/>
      <c r="F9" s="2092"/>
      <c r="G9" s="2092"/>
      <c r="H9" s="2092"/>
      <c r="I9" s="2092"/>
      <c r="J9" s="2092"/>
      <c r="K9" s="2092"/>
      <c r="L9" s="2092"/>
      <c r="M9" s="2092"/>
    </row>
    <row r="10" spans="1:14" x14ac:dyDescent="0.25">
      <c r="A10" s="48"/>
      <c r="B10" s="49"/>
      <c r="C10" s="49"/>
      <c r="D10" s="49"/>
      <c r="E10" s="49"/>
      <c r="F10" s="48"/>
      <c r="G10" s="48"/>
      <c r="H10" s="48"/>
      <c r="I10" s="48"/>
      <c r="J10" s="48"/>
      <c r="K10" s="48"/>
      <c r="L10" s="48"/>
      <c r="M10" s="48"/>
    </row>
    <row r="11" spans="1:14" ht="21" customHeight="1" x14ac:dyDescent="0.25">
      <c r="A11" s="48"/>
      <c r="B11" s="2097" t="s">
        <v>96</v>
      </c>
      <c r="C11" s="2098"/>
      <c r="D11" s="2098"/>
      <c r="E11" s="2098"/>
      <c r="F11" s="677" t="s">
        <v>75</v>
      </c>
      <c r="G11" s="677" t="s">
        <v>19</v>
      </c>
      <c r="H11" s="50" t="s">
        <v>151</v>
      </c>
      <c r="I11" s="48"/>
      <c r="J11" s="48"/>
      <c r="K11" s="48"/>
      <c r="L11" s="48"/>
      <c r="M11" s="48"/>
    </row>
    <row r="12" spans="1:14" ht="92.25" customHeight="1" x14ac:dyDescent="0.25">
      <c r="A12" s="48"/>
      <c r="B12" s="2105" t="s">
        <v>2049</v>
      </c>
      <c r="C12" s="2106"/>
      <c r="D12" s="2106"/>
      <c r="E12" s="2107"/>
      <c r="F12" s="320">
        <v>2</v>
      </c>
      <c r="G12" s="320">
        <f>C283</f>
        <v>0</v>
      </c>
      <c r="H12" s="320" t="str">
        <f>C81</f>
        <v>No</v>
      </c>
      <c r="I12" s="48"/>
      <c r="J12" s="48"/>
      <c r="K12" s="48"/>
      <c r="L12" s="48"/>
      <c r="M12" s="48"/>
    </row>
    <row r="13" spans="1:14" x14ac:dyDescent="0.25">
      <c r="A13" s="48"/>
      <c r="B13" s="49"/>
      <c r="C13" s="49"/>
      <c r="D13" s="49"/>
      <c r="E13" s="49"/>
      <c r="F13" s="48"/>
      <c r="G13" s="48"/>
      <c r="H13" s="48"/>
      <c r="I13" s="48"/>
      <c r="J13" s="48"/>
      <c r="K13" s="48"/>
      <c r="L13" s="48"/>
      <c r="M13" s="48"/>
    </row>
    <row r="14" spans="1:14" ht="18" customHeight="1" x14ac:dyDescent="0.25">
      <c r="A14" s="2092" t="s">
        <v>1184</v>
      </c>
      <c r="B14" s="2092"/>
      <c r="C14" s="2092"/>
      <c r="D14" s="2092"/>
      <c r="E14" s="2092"/>
      <c r="F14" s="2092"/>
      <c r="G14" s="2092"/>
      <c r="H14" s="2092"/>
      <c r="I14" s="2092"/>
      <c r="J14" s="2092"/>
      <c r="K14" s="2092"/>
      <c r="L14" s="2092"/>
      <c r="M14" s="2092"/>
    </row>
    <row r="15" spans="1:14" x14ac:dyDescent="0.25">
      <c r="A15" s="48"/>
      <c r="B15" s="49"/>
      <c r="C15" s="49"/>
      <c r="D15" s="49"/>
      <c r="E15" s="49"/>
      <c r="F15" s="48"/>
      <c r="G15" s="48"/>
      <c r="H15" s="48"/>
      <c r="I15" s="48"/>
      <c r="J15" s="48"/>
      <c r="K15" s="48"/>
      <c r="L15" s="48"/>
      <c r="M15" s="48"/>
      <c r="N15" s="48"/>
    </row>
    <row r="16" spans="1:14" x14ac:dyDescent="0.25">
      <c r="A16" s="48"/>
      <c r="B16" s="2259" t="s">
        <v>2716</v>
      </c>
      <c r="C16" s="2260"/>
      <c r="D16" s="2260"/>
      <c r="E16" s="2260"/>
      <c r="F16" s="2260"/>
      <c r="G16" s="2260"/>
      <c r="H16" s="2260"/>
      <c r="I16" s="2260"/>
      <c r="J16" s="2261"/>
      <c r="K16" s="48"/>
      <c r="L16" s="48"/>
      <c r="M16" s="48"/>
      <c r="N16" s="48"/>
    </row>
    <row r="17" spans="1:14" ht="28.5" customHeight="1" x14ac:dyDescent="0.25">
      <c r="A17" s="48"/>
      <c r="B17" s="2122" t="s">
        <v>2182</v>
      </c>
      <c r="C17" s="2123"/>
      <c r="D17" s="2123"/>
      <c r="E17" s="2123"/>
      <c r="F17" s="2123"/>
      <c r="G17" s="2123"/>
      <c r="H17" s="2123"/>
      <c r="I17" s="2123"/>
      <c r="J17" s="2124"/>
      <c r="K17" s="48"/>
      <c r="L17" s="48"/>
      <c r="M17" s="48"/>
      <c r="N17" s="48"/>
    </row>
    <row r="18" spans="1:14" x14ac:dyDescent="0.25">
      <c r="A18" s="48"/>
      <c r="B18" s="2119" t="s">
        <v>2183</v>
      </c>
      <c r="C18" s="2120"/>
      <c r="D18" s="2120"/>
      <c r="E18" s="2120"/>
      <c r="F18" s="2120"/>
      <c r="G18" s="2120"/>
      <c r="H18" s="2120"/>
      <c r="I18" s="2120"/>
      <c r="J18" s="2121"/>
      <c r="K18" s="48"/>
      <c r="L18" s="48"/>
      <c r="M18" s="48"/>
      <c r="N18" s="48"/>
    </row>
    <row r="19" spans="1:14" ht="28.5" customHeight="1" x14ac:dyDescent="0.25">
      <c r="A19" s="48"/>
      <c r="B19" s="2122" t="s">
        <v>2184</v>
      </c>
      <c r="C19" s="2123"/>
      <c r="D19" s="2123"/>
      <c r="E19" s="2123"/>
      <c r="F19" s="2123"/>
      <c r="G19" s="2123"/>
      <c r="H19" s="2123"/>
      <c r="I19" s="2123"/>
      <c r="J19" s="2124"/>
      <c r="K19" s="48"/>
      <c r="L19" s="48"/>
      <c r="M19" s="48"/>
      <c r="N19" s="48"/>
    </row>
    <row r="20" spans="1:14" x14ac:dyDescent="0.25">
      <c r="A20" s="48"/>
      <c r="B20" s="2119" t="s">
        <v>2185</v>
      </c>
      <c r="C20" s="2120"/>
      <c r="D20" s="2120"/>
      <c r="E20" s="2120"/>
      <c r="F20" s="2120"/>
      <c r="G20" s="2120"/>
      <c r="H20" s="2120"/>
      <c r="I20" s="2120"/>
      <c r="J20" s="2121"/>
      <c r="K20" s="48"/>
      <c r="L20" s="48"/>
      <c r="M20" s="48"/>
      <c r="N20" s="48"/>
    </row>
    <row r="21" spans="1:14" x14ac:dyDescent="0.25">
      <c r="A21" s="48"/>
      <c r="B21" s="2125" t="s">
        <v>2186</v>
      </c>
      <c r="C21" s="2126"/>
      <c r="D21" s="2126"/>
      <c r="E21" s="2126"/>
      <c r="F21" s="2126"/>
      <c r="G21" s="2126"/>
      <c r="H21" s="2126"/>
      <c r="I21" s="2126"/>
      <c r="J21" s="2127"/>
      <c r="K21" s="48"/>
      <c r="L21" s="48"/>
      <c r="M21" s="48"/>
      <c r="N21" s="48"/>
    </row>
    <row r="22" spans="1:14" ht="19.5" customHeight="1" x14ac:dyDescent="0.25">
      <c r="A22" s="48"/>
      <c r="B22" s="49"/>
      <c r="C22" s="49"/>
      <c r="D22" s="49"/>
      <c r="E22" s="49"/>
      <c r="F22" s="48"/>
      <c r="G22" s="48"/>
      <c r="H22" s="48"/>
      <c r="I22" s="48"/>
      <c r="J22" s="48"/>
      <c r="K22" s="48"/>
      <c r="L22" s="48"/>
      <c r="M22" s="48"/>
      <c r="N22" s="48"/>
    </row>
    <row r="23" spans="1:14" ht="18" customHeight="1" x14ac:dyDescent="0.25">
      <c r="A23" s="2092" t="s">
        <v>605</v>
      </c>
      <c r="B23" s="2092"/>
      <c r="C23" s="2092"/>
      <c r="D23" s="2092"/>
      <c r="E23" s="2092"/>
      <c r="F23" s="2092"/>
      <c r="G23" s="2092"/>
      <c r="H23" s="2092"/>
      <c r="I23" s="2092"/>
      <c r="J23" s="2092"/>
      <c r="K23" s="2092"/>
      <c r="L23" s="2092"/>
      <c r="M23" s="2092"/>
    </row>
    <row r="24" spans="1:14" x14ac:dyDescent="0.25">
      <c r="A24" s="48"/>
      <c r="B24" s="48"/>
      <c r="C24" s="48"/>
      <c r="D24" s="48"/>
      <c r="E24" s="49"/>
      <c r="F24" s="48"/>
      <c r="G24" s="48"/>
      <c r="H24" s="48"/>
      <c r="I24" s="48"/>
      <c r="J24" s="48"/>
      <c r="K24" s="48"/>
      <c r="L24" s="48"/>
      <c r="M24" s="48"/>
    </row>
    <row r="25" spans="1:14" x14ac:dyDescent="0.25">
      <c r="A25" s="48"/>
      <c r="B25" s="722" t="s">
        <v>2181</v>
      </c>
      <c r="C25" s="48"/>
      <c r="D25" s="48"/>
      <c r="E25" s="49"/>
      <c r="F25" s="48"/>
      <c r="G25" s="48"/>
      <c r="H25" s="48"/>
      <c r="I25" s="48"/>
      <c r="J25" s="48"/>
      <c r="K25" s="48"/>
      <c r="L25" s="48"/>
      <c r="M25" s="48"/>
    </row>
    <row r="26" spans="1:14" x14ac:dyDescent="0.25">
      <c r="A26" s="48"/>
      <c r="B26" s="48"/>
      <c r="C26" s="48"/>
      <c r="D26" s="48"/>
      <c r="E26" s="49"/>
      <c r="F26" s="48"/>
      <c r="G26" s="48"/>
      <c r="H26" s="48"/>
      <c r="I26" s="48"/>
      <c r="J26" s="48"/>
      <c r="K26" s="48"/>
      <c r="L26" s="48"/>
      <c r="M26" s="48"/>
    </row>
    <row r="27" spans="1:14" ht="16.5" customHeight="1" x14ac:dyDescent="0.25">
      <c r="A27" s="2115" t="s">
        <v>117</v>
      </c>
      <c r="B27" s="2115"/>
      <c r="C27" s="2115"/>
      <c r="D27" s="48"/>
      <c r="E27" s="49"/>
      <c r="F27" s="49"/>
      <c r="G27" s="49"/>
      <c r="H27" s="49"/>
      <c r="I27" s="49"/>
      <c r="J27" s="49"/>
      <c r="K27" s="49"/>
      <c r="L27" s="49"/>
      <c r="M27" s="49"/>
      <c r="N27" s="49"/>
    </row>
    <row r="28" spans="1:14" ht="12" customHeight="1" x14ac:dyDescent="0.25">
      <c r="A28" s="48"/>
      <c r="B28" s="48"/>
      <c r="C28" s="48"/>
      <c r="D28" s="48"/>
      <c r="E28" s="1144"/>
      <c r="F28" s="1144"/>
      <c r="G28" s="1144"/>
      <c r="H28" s="1144"/>
      <c r="I28" s="1144"/>
      <c r="J28" s="1144"/>
      <c r="K28" s="1144"/>
      <c r="L28" s="1144"/>
      <c r="M28" s="1144"/>
      <c r="N28" s="1144"/>
    </row>
    <row r="29" spans="1:14" ht="18" customHeight="1" x14ac:dyDescent="0.25">
      <c r="A29" s="48"/>
      <c r="B29" s="708" t="s">
        <v>2176</v>
      </c>
      <c r="C29" s="49"/>
      <c r="D29" s="49"/>
      <c r="E29" s="49"/>
      <c r="F29" s="49"/>
      <c r="G29" s="49"/>
      <c r="H29" s="49"/>
      <c r="I29" s="49"/>
      <c r="J29" s="49"/>
      <c r="K29" s="48"/>
      <c r="L29" s="48"/>
      <c r="M29" s="48"/>
    </row>
    <row r="30" spans="1:14" ht="12" customHeight="1" x14ac:dyDescent="0.25">
      <c r="A30" s="48"/>
      <c r="B30" s="1073"/>
      <c r="C30" s="49"/>
      <c r="D30" s="49"/>
      <c r="E30" s="49"/>
      <c r="F30" s="48"/>
      <c r="G30" s="48"/>
      <c r="H30" s="48"/>
      <c r="I30" s="48"/>
      <c r="J30" s="48"/>
      <c r="K30" s="48"/>
      <c r="L30" s="48"/>
      <c r="M30" s="48"/>
    </row>
    <row r="31" spans="1:14" ht="18" customHeight="1" x14ac:dyDescent="0.25">
      <c r="A31" s="48"/>
      <c r="B31" s="715" t="s">
        <v>2175</v>
      </c>
      <c r="C31" s="1161"/>
      <c r="D31" s="1161"/>
      <c r="E31" s="1161"/>
      <c r="F31" s="48"/>
      <c r="G31" s="48"/>
      <c r="H31" s="48"/>
      <c r="I31" s="48"/>
      <c r="J31" s="48"/>
      <c r="K31" s="48"/>
      <c r="L31" s="48"/>
      <c r="M31" s="48"/>
    </row>
    <row r="32" spans="1:14" ht="27" customHeight="1" x14ac:dyDescent="0.25">
      <c r="A32" s="48"/>
      <c r="B32" s="2246" t="s">
        <v>2150</v>
      </c>
      <c r="C32" s="2246"/>
      <c r="D32" s="1162" t="s">
        <v>2151</v>
      </c>
      <c r="E32" s="2247" t="s">
        <v>1842</v>
      </c>
      <c r="F32" s="2247"/>
      <c r="G32" s="2248"/>
      <c r="H32" s="48"/>
      <c r="I32" s="48"/>
      <c r="J32" s="48"/>
      <c r="K32" s="48"/>
      <c r="L32" s="48"/>
      <c r="M32" s="48"/>
      <c r="N32" s="48"/>
    </row>
    <row r="33" spans="1:20" ht="15" customHeight="1" x14ac:dyDescent="0.25">
      <c r="A33" s="48"/>
      <c r="B33" s="2249" t="s">
        <v>2152</v>
      </c>
      <c r="C33" s="2250"/>
      <c r="D33" s="1163">
        <v>20</v>
      </c>
      <c r="E33" s="2255" t="s">
        <v>2153</v>
      </c>
      <c r="F33" s="2255"/>
      <c r="G33" s="2255"/>
      <c r="H33" s="48"/>
      <c r="I33" s="48"/>
      <c r="J33" s="48"/>
      <c r="K33" s="48"/>
      <c r="L33" s="48"/>
      <c r="M33" s="48"/>
      <c r="N33" s="48"/>
      <c r="S33" s="1164" t="s">
        <v>2154</v>
      </c>
      <c r="T33" s="1163">
        <v>20</v>
      </c>
    </row>
    <row r="34" spans="1:20" ht="15" customHeight="1" x14ac:dyDescent="0.25">
      <c r="A34" s="48"/>
      <c r="B34" s="2251"/>
      <c r="C34" s="2252"/>
      <c r="D34" s="1163">
        <v>50</v>
      </c>
      <c r="E34" s="2255" t="s">
        <v>2155</v>
      </c>
      <c r="F34" s="2255"/>
      <c r="G34" s="2255"/>
      <c r="H34" s="48"/>
      <c r="I34" s="48"/>
      <c r="J34" s="48"/>
      <c r="K34" s="48"/>
      <c r="L34" s="48"/>
      <c r="M34" s="48"/>
      <c r="N34" s="48"/>
      <c r="S34" s="1164" t="s">
        <v>2156</v>
      </c>
      <c r="T34" s="1163">
        <v>50</v>
      </c>
    </row>
    <row r="35" spans="1:20" ht="15" customHeight="1" x14ac:dyDescent="0.25">
      <c r="A35" s="48"/>
      <c r="B35" s="2251"/>
      <c r="C35" s="2252"/>
      <c r="D35" s="1163">
        <v>70</v>
      </c>
      <c r="E35" s="2255" t="s">
        <v>2157</v>
      </c>
      <c r="F35" s="2255"/>
      <c r="G35" s="2255"/>
      <c r="H35" s="48"/>
      <c r="I35" s="48"/>
      <c r="J35" s="48"/>
      <c r="K35" s="48"/>
      <c r="L35" s="48"/>
      <c r="M35" s="48"/>
      <c r="N35" s="48"/>
      <c r="S35" s="1164" t="s">
        <v>2158</v>
      </c>
      <c r="T35" s="1163">
        <v>70</v>
      </c>
    </row>
    <row r="36" spans="1:20" ht="15" customHeight="1" x14ac:dyDescent="0.25">
      <c r="A36" s="48"/>
      <c r="B36" s="2251"/>
      <c r="C36" s="2252"/>
      <c r="D36" s="1163">
        <v>100</v>
      </c>
      <c r="E36" s="2255" t="s">
        <v>2159</v>
      </c>
      <c r="F36" s="2255"/>
      <c r="G36" s="2255"/>
      <c r="H36" s="48"/>
      <c r="I36" s="48"/>
      <c r="J36" s="48"/>
      <c r="K36" s="48"/>
      <c r="L36" s="48"/>
      <c r="M36" s="48"/>
      <c r="N36" s="48"/>
      <c r="S36" s="1164" t="s">
        <v>2160</v>
      </c>
      <c r="T36" s="1163">
        <v>100</v>
      </c>
    </row>
    <row r="37" spans="1:20" ht="15" customHeight="1" x14ac:dyDescent="0.25">
      <c r="A37" s="48"/>
      <c r="B37" s="2253"/>
      <c r="C37" s="2254"/>
      <c r="D37" s="1163">
        <v>150</v>
      </c>
      <c r="E37" s="2255" t="s">
        <v>2161</v>
      </c>
      <c r="F37" s="2255"/>
      <c r="G37" s="2255"/>
      <c r="H37" s="48"/>
      <c r="I37" s="48"/>
      <c r="J37" s="48"/>
      <c r="K37" s="48"/>
      <c r="L37" s="48"/>
      <c r="M37" s="48"/>
      <c r="N37" s="48"/>
      <c r="S37" s="1164" t="s">
        <v>2162</v>
      </c>
      <c r="T37" s="1163">
        <v>150</v>
      </c>
    </row>
    <row r="38" spans="1:20" ht="15" customHeight="1" x14ac:dyDescent="0.25">
      <c r="A38" s="48"/>
      <c r="B38" s="2249" t="s">
        <v>2163</v>
      </c>
      <c r="C38" s="2250"/>
      <c r="D38" s="1163">
        <v>200</v>
      </c>
      <c r="E38" s="2255" t="s">
        <v>2164</v>
      </c>
      <c r="F38" s="2255"/>
      <c r="G38" s="2255"/>
      <c r="H38" s="48"/>
      <c r="I38" s="48"/>
      <c r="J38" s="48"/>
      <c r="K38" s="48"/>
      <c r="L38" s="48"/>
      <c r="M38" s="48"/>
      <c r="N38" s="48"/>
      <c r="S38" s="1164" t="s">
        <v>2165</v>
      </c>
      <c r="T38" s="1163">
        <v>200</v>
      </c>
    </row>
    <row r="39" spans="1:20" ht="27" customHeight="1" x14ac:dyDescent="0.25">
      <c r="A39" s="48"/>
      <c r="B39" s="2251"/>
      <c r="C39" s="2252"/>
      <c r="D39" s="1163">
        <v>300</v>
      </c>
      <c r="E39" s="2255" t="s">
        <v>2166</v>
      </c>
      <c r="F39" s="2255"/>
      <c r="G39" s="2255"/>
      <c r="H39" s="48"/>
      <c r="I39" s="48"/>
      <c r="J39" s="48"/>
      <c r="K39" s="48"/>
      <c r="L39" s="48"/>
      <c r="M39" s="48"/>
      <c r="N39" s="48"/>
      <c r="S39" s="1164" t="s">
        <v>2167</v>
      </c>
      <c r="T39" s="1163">
        <v>300</v>
      </c>
    </row>
    <row r="40" spans="1:20" ht="27" customHeight="1" x14ac:dyDescent="0.25">
      <c r="A40" s="48"/>
      <c r="B40" s="2251"/>
      <c r="C40" s="2252"/>
      <c r="D40" s="1163">
        <v>450</v>
      </c>
      <c r="E40" s="2255" t="s">
        <v>2168</v>
      </c>
      <c r="F40" s="2255"/>
      <c r="G40" s="2255"/>
      <c r="H40" s="48"/>
      <c r="I40" s="48"/>
      <c r="J40" s="48"/>
      <c r="K40" s="48"/>
      <c r="L40" s="48"/>
      <c r="M40" s="48"/>
      <c r="N40" s="48"/>
      <c r="S40" s="1164" t="s">
        <v>2169</v>
      </c>
      <c r="T40" s="1163">
        <v>450</v>
      </c>
    </row>
    <row r="41" spans="1:20" ht="40.5" customHeight="1" x14ac:dyDescent="0.25">
      <c r="A41" s="48"/>
      <c r="B41" s="2253"/>
      <c r="C41" s="2254"/>
      <c r="D41" s="1163">
        <v>1500</v>
      </c>
      <c r="E41" s="2255" t="s">
        <v>2170</v>
      </c>
      <c r="F41" s="2255"/>
      <c r="G41" s="2255"/>
      <c r="H41" s="48"/>
      <c r="I41" s="48"/>
      <c r="J41" s="48"/>
      <c r="K41" s="48"/>
      <c r="L41" s="48"/>
      <c r="M41" s="48"/>
      <c r="N41" s="48"/>
      <c r="S41" s="1164" t="s">
        <v>2171</v>
      </c>
      <c r="T41" s="1163">
        <v>1500</v>
      </c>
    </row>
    <row r="42" spans="1:20" ht="28.5" customHeight="1" x14ac:dyDescent="0.25">
      <c r="A42" s="48"/>
      <c r="B42" s="2262" t="s">
        <v>2172</v>
      </c>
      <c r="C42" s="2263"/>
      <c r="D42" s="1163">
        <v>3000</v>
      </c>
      <c r="E42" s="2255" t="s">
        <v>2173</v>
      </c>
      <c r="F42" s="2255"/>
      <c r="G42" s="2255"/>
      <c r="H42" s="48"/>
      <c r="I42" s="48"/>
      <c r="J42" s="48"/>
      <c r="K42" s="48"/>
      <c r="L42" s="48"/>
      <c r="M42" s="48"/>
      <c r="N42" s="48"/>
      <c r="S42" s="1164" t="s">
        <v>2174</v>
      </c>
      <c r="T42" s="1163">
        <v>3000</v>
      </c>
    </row>
    <row r="43" spans="1:20" x14ac:dyDescent="0.25">
      <c r="A43" s="48"/>
      <c r="B43" s="48"/>
      <c r="C43" s="48"/>
      <c r="D43" s="48"/>
      <c r="E43" s="49"/>
      <c r="F43" s="48"/>
      <c r="G43" s="48"/>
      <c r="H43" s="48"/>
      <c r="I43" s="48"/>
      <c r="J43" s="48"/>
      <c r="K43" s="48"/>
      <c r="L43" s="48"/>
      <c r="M43" s="48"/>
    </row>
    <row r="44" spans="1:20" ht="16.5" customHeight="1" x14ac:dyDescent="0.25">
      <c r="A44" s="2115" t="s">
        <v>9</v>
      </c>
      <c r="B44" s="2115"/>
      <c r="C44" s="2115"/>
      <c r="D44" s="48"/>
      <c r="E44" s="49"/>
      <c r="F44" s="48"/>
      <c r="G44" s="48"/>
      <c r="H44" s="48"/>
      <c r="I44" s="48"/>
      <c r="J44" s="48"/>
      <c r="K44" s="48"/>
      <c r="L44" s="48"/>
      <c r="M44" s="48"/>
    </row>
    <row r="45" spans="1:20" x14ac:dyDescent="0.25">
      <c r="A45" s="48"/>
      <c r="B45" s="49"/>
      <c r="C45" s="49"/>
      <c r="D45" s="49"/>
      <c r="E45" s="49"/>
      <c r="F45" s="48"/>
      <c r="G45" s="48"/>
      <c r="H45" s="48"/>
      <c r="I45" s="48"/>
      <c r="J45" s="48"/>
      <c r="K45" s="48"/>
      <c r="L45" s="48"/>
      <c r="M45" s="48"/>
    </row>
    <row r="46" spans="1:20" x14ac:dyDescent="0.25">
      <c r="A46" s="48"/>
      <c r="B46" s="671" t="s">
        <v>1216</v>
      </c>
      <c r="C46" s="49"/>
      <c r="D46" s="49"/>
      <c r="E46" s="49"/>
      <c r="F46" s="48"/>
      <c r="G46" s="48"/>
      <c r="H46" s="48"/>
      <c r="I46" s="48"/>
      <c r="J46" s="48"/>
      <c r="K46" s="48"/>
      <c r="L46" s="48"/>
      <c r="M46" s="48"/>
    </row>
    <row r="47" spans="1:20" ht="12" customHeight="1" x14ac:dyDescent="0.25">
      <c r="A47" s="48"/>
      <c r="B47" s="49"/>
      <c r="C47" s="49"/>
      <c r="D47" s="49"/>
      <c r="E47" s="49"/>
      <c r="F47" s="48"/>
      <c r="G47" s="48"/>
      <c r="H47" s="48"/>
      <c r="I47" s="48"/>
      <c r="J47" s="48"/>
      <c r="K47" s="48"/>
      <c r="L47" s="48"/>
      <c r="M47" s="48"/>
    </row>
    <row r="48" spans="1:20" ht="28.5" customHeight="1" x14ac:dyDescent="0.25">
      <c r="A48" s="48"/>
      <c r="B48" s="1146" t="s">
        <v>2177</v>
      </c>
      <c r="C48" s="1142" t="s">
        <v>2150</v>
      </c>
      <c r="D48" s="1142" t="s">
        <v>1842</v>
      </c>
      <c r="E48" s="1142" t="s">
        <v>1015</v>
      </c>
      <c r="F48" s="1142" t="s">
        <v>2178</v>
      </c>
      <c r="G48" s="2110" t="s">
        <v>2179</v>
      </c>
      <c r="H48" s="2110"/>
      <c r="I48" s="1143" t="s">
        <v>2180</v>
      </c>
      <c r="J48" s="2095" t="s">
        <v>89</v>
      </c>
      <c r="K48" s="2136"/>
      <c r="L48" s="48"/>
      <c r="M48" s="48"/>
      <c r="N48" s="48"/>
      <c r="O48" s="48"/>
      <c r="P48" s="48"/>
    </row>
    <row r="49" spans="1:21" ht="16.5" customHeight="1" x14ac:dyDescent="0.25">
      <c r="A49" s="48"/>
      <c r="B49" s="1138"/>
      <c r="C49" s="1245" t="s">
        <v>62</v>
      </c>
      <c r="D49" s="1245" t="s">
        <v>62</v>
      </c>
      <c r="E49" s="1138"/>
      <c r="F49" s="370" t="str">
        <f>IFERROR(VLOOKUP(D49,$S$33:$T$42,2,FALSE)*E49,"")</f>
        <v/>
      </c>
      <c r="G49" s="2264"/>
      <c r="H49" s="2265"/>
      <c r="I49" s="1138"/>
      <c r="J49" s="2256" t="str">
        <f>IFERROR(IF(OR(F49="",E49=""),"",IF(I49&gt;=F49,"Yes","No")),"")</f>
        <v/>
      </c>
      <c r="K49" s="2257"/>
      <c r="L49" s="48"/>
      <c r="M49" s="48"/>
      <c r="N49" s="48"/>
      <c r="O49" s="48">
        <f>IF(J49="Yes",E49,0)</f>
        <v>0</v>
      </c>
      <c r="P49" s="48" t="s">
        <v>62</v>
      </c>
      <c r="Q49" s="37" t="str">
        <f>IF($C49="lighting purpose 1","Application 1.1",IF($C49="lighting purpose 2","Application 2.1",IF($C49="lighting purpose 3","Application 3.0","/")))</f>
        <v>/</v>
      </c>
      <c r="R49" s="37" t="str">
        <f>IF($C49="lighting purpose 1","Application 1.2",IF($C49="lighting purpose 2","Application 2.2","/"))</f>
        <v>/</v>
      </c>
      <c r="S49" s="37" t="str">
        <f>IF($C49="lighting purpose 1","Application 1.3",IF($C49="lighting purpose 2","Application 2.3","/"))</f>
        <v>/</v>
      </c>
      <c r="T49" s="37" t="str">
        <f>IF($C49="lighting purpose 1","Application 1.4",IF($C49="lighting purpose 2","Application 2.4","/"))</f>
        <v>/</v>
      </c>
      <c r="U49" s="37" t="str">
        <f>IF($C49="lighting purpose 1","Application 1.5","/")</f>
        <v>/</v>
      </c>
    </row>
    <row r="50" spans="1:21" ht="16.5" customHeight="1" x14ac:dyDescent="0.25">
      <c r="A50" s="48"/>
      <c r="B50" s="1138"/>
      <c r="C50" s="1245" t="s">
        <v>62</v>
      </c>
      <c r="D50" s="1245" t="s">
        <v>62</v>
      </c>
      <c r="E50" s="1138"/>
      <c r="F50" s="370" t="str">
        <f>IFERROR(VLOOKUP(D50,$S$33:$T$42,2,FALSE)*E50,"")</f>
        <v/>
      </c>
      <c r="G50" s="1618"/>
      <c r="H50" s="1619"/>
      <c r="I50" s="1138"/>
      <c r="J50" s="2258" t="str">
        <f>IFERROR(IF(OR(F50="",E50=""),"",IF(I50&gt;=F50,"Yes","No")),"")</f>
        <v/>
      </c>
      <c r="K50" s="2258"/>
      <c r="L50" s="48"/>
      <c r="M50" s="48"/>
      <c r="N50" s="48"/>
      <c r="O50" s="48">
        <f t="shared" ref="O50:O68" si="0">IF(J50="Yes",E50,0)</f>
        <v>0</v>
      </c>
      <c r="P50" s="48" t="s">
        <v>62</v>
      </c>
      <c r="Q50" s="37" t="str">
        <f t="shared" ref="Q50:Q67" si="1">IF($C50="lighting purpose 1","Application 1.1",IF($C50="lighting purpose 2","Application 2.1",IF($C50="lighting purpose 3","Application 3.0","/")))</f>
        <v>/</v>
      </c>
      <c r="R50" s="37" t="str">
        <f t="shared" ref="R50:R68" si="2">IF($C50="lighting purpose 1","Application 1.2",IF($C50="lighting purpose 2","Application 2.2","/"))</f>
        <v>/</v>
      </c>
      <c r="S50" s="37" t="str">
        <f t="shared" ref="S50:S68" si="3">IF($C50="lighting purpose 1","Application 1.3",IF($C50="lighting purpose 2","Application 2.3","/"))</f>
        <v>/</v>
      </c>
      <c r="T50" s="37" t="str">
        <f t="shared" ref="T50:T68" si="4">IF($C50="lighting purpose 1","Application 1.4",IF($C50="lighting purpose 2","Application 2.4","/"))</f>
        <v>/</v>
      </c>
      <c r="U50" s="37" t="str">
        <f t="shared" ref="U50:U68" si="5">IF($C50="lighting purpose 1","Application 1.5","/")</f>
        <v>/</v>
      </c>
    </row>
    <row r="51" spans="1:21" ht="16.5" customHeight="1" x14ac:dyDescent="0.25">
      <c r="A51" s="48"/>
      <c r="B51" s="1138"/>
      <c r="C51" s="1245" t="s">
        <v>62</v>
      </c>
      <c r="D51" s="1245" t="s">
        <v>62</v>
      </c>
      <c r="E51" s="1138"/>
      <c r="F51" s="370" t="str">
        <f t="shared" ref="F51:F68" si="6">IFERROR(VLOOKUP(D51,$S$33:$T$42,2,FALSE)*E51,"")</f>
        <v/>
      </c>
      <c r="G51" s="1618"/>
      <c r="H51" s="1619"/>
      <c r="I51" s="1138"/>
      <c r="J51" s="2258" t="str">
        <f t="shared" ref="J51:J68" si="7">IFERROR(IF(OR(F51="",E51=""),"",IF(I51&gt;=F51,"Yes","No")),"")</f>
        <v/>
      </c>
      <c r="K51" s="2258"/>
      <c r="L51" s="48"/>
      <c r="M51" s="48"/>
      <c r="N51" s="48"/>
      <c r="O51" s="48">
        <f t="shared" si="0"/>
        <v>0</v>
      </c>
      <c r="P51" s="48" t="s">
        <v>62</v>
      </c>
      <c r="Q51" s="37" t="str">
        <f t="shared" si="1"/>
        <v>/</v>
      </c>
      <c r="R51" s="37" t="str">
        <f t="shared" si="2"/>
        <v>/</v>
      </c>
      <c r="S51" s="37" t="str">
        <f t="shared" si="3"/>
        <v>/</v>
      </c>
      <c r="T51" s="37" t="str">
        <f t="shared" si="4"/>
        <v>/</v>
      </c>
      <c r="U51" s="37" t="str">
        <f t="shared" si="5"/>
        <v>/</v>
      </c>
    </row>
    <row r="52" spans="1:21" ht="16.5" customHeight="1" x14ac:dyDescent="0.25">
      <c r="A52" s="48"/>
      <c r="B52" s="1138"/>
      <c r="C52" s="1138" t="s">
        <v>62</v>
      </c>
      <c r="D52" s="1138" t="s">
        <v>62</v>
      </c>
      <c r="E52" s="1138"/>
      <c r="F52" s="370" t="str">
        <f t="shared" si="6"/>
        <v/>
      </c>
      <c r="G52" s="1618"/>
      <c r="H52" s="1619"/>
      <c r="I52" s="1138"/>
      <c r="J52" s="2258" t="str">
        <f t="shared" si="7"/>
        <v/>
      </c>
      <c r="K52" s="2258"/>
      <c r="L52" s="48"/>
      <c r="M52" s="48"/>
      <c r="N52" s="48"/>
      <c r="O52" s="48">
        <f t="shared" si="0"/>
        <v>0</v>
      </c>
      <c r="P52" s="48" t="s">
        <v>62</v>
      </c>
      <c r="Q52" s="37" t="str">
        <f t="shared" si="1"/>
        <v>/</v>
      </c>
      <c r="R52" s="37" t="str">
        <f t="shared" si="2"/>
        <v>/</v>
      </c>
      <c r="S52" s="37" t="str">
        <f t="shared" si="3"/>
        <v>/</v>
      </c>
      <c r="T52" s="37" t="str">
        <f t="shared" si="4"/>
        <v>/</v>
      </c>
      <c r="U52" s="37" t="str">
        <f t="shared" si="5"/>
        <v>/</v>
      </c>
    </row>
    <row r="53" spans="1:21" ht="16.5" customHeight="1" x14ac:dyDescent="0.25">
      <c r="A53" s="48"/>
      <c r="B53" s="1138"/>
      <c r="C53" s="1138" t="s">
        <v>62</v>
      </c>
      <c r="D53" s="1138" t="s">
        <v>62</v>
      </c>
      <c r="E53" s="1138"/>
      <c r="F53" s="370" t="str">
        <f t="shared" si="6"/>
        <v/>
      </c>
      <c r="G53" s="1618"/>
      <c r="H53" s="1619"/>
      <c r="I53" s="1138"/>
      <c r="J53" s="2258" t="str">
        <f t="shared" si="7"/>
        <v/>
      </c>
      <c r="K53" s="2258"/>
      <c r="L53" s="48"/>
      <c r="M53" s="48"/>
      <c r="N53" s="48"/>
      <c r="O53" s="48">
        <f t="shared" si="0"/>
        <v>0</v>
      </c>
      <c r="P53" s="48" t="s">
        <v>62</v>
      </c>
      <c r="Q53" s="37" t="str">
        <f t="shared" si="1"/>
        <v>/</v>
      </c>
      <c r="R53" s="37" t="str">
        <f t="shared" si="2"/>
        <v>/</v>
      </c>
      <c r="S53" s="37" t="str">
        <f t="shared" si="3"/>
        <v>/</v>
      </c>
      <c r="T53" s="37" t="str">
        <f t="shared" si="4"/>
        <v>/</v>
      </c>
      <c r="U53" s="37" t="str">
        <f t="shared" si="5"/>
        <v>/</v>
      </c>
    </row>
    <row r="54" spans="1:21" ht="16.5" customHeight="1" x14ac:dyDescent="0.25">
      <c r="A54" s="48"/>
      <c r="B54" s="1138"/>
      <c r="C54" s="1138" t="s">
        <v>62</v>
      </c>
      <c r="D54" s="1138" t="s">
        <v>62</v>
      </c>
      <c r="E54" s="1138"/>
      <c r="F54" s="370" t="str">
        <f t="shared" si="6"/>
        <v/>
      </c>
      <c r="G54" s="1618"/>
      <c r="H54" s="1619"/>
      <c r="I54" s="1138"/>
      <c r="J54" s="2258" t="str">
        <f t="shared" si="7"/>
        <v/>
      </c>
      <c r="K54" s="2258"/>
      <c r="L54" s="48"/>
      <c r="M54" s="48"/>
      <c r="N54" s="48"/>
      <c r="O54" s="48">
        <f t="shared" si="0"/>
        <v>0</v>
      </c>
      <c r="P54" s="48" t="s">
        <v>62</v>
      </c>
      <c r="Q54" s="37" t="str">
        <f t="shared" si="1"/>
        <v>/</v>
      </c>
      <c r="R54" s="37" t="str">
        <f t="shared" si="2"/>
        <v>/</v>
      </c>
      <c r="S54" s="37" t="str">
        <f t="shared" si="3"/>
        <v>/</v>
      </c>
      <c r="T54" s="37" t="str">
        <f t="shared" si="4"/>
        <v>/</v>
      </c>
      <c r="U54" s="37" t="str">
        <f t="shared" si="5"/>
        <v>/</v>
      </c>
    </row>
    <row r="55" spans="1:21" ht="16.5" customHeight="1" x14ac:dyDescent="0.25">
      <c r="A55" s="48"/>
      <c r="B55" s="1138"/>
      <c r="C55" s="1138" t="s">
        <v>62</v>
      </c>
      <c r="D55" s="1138" t="s">
        <v>62</v>
      </c>
      <c r="E55" s="1138"/>
      <c r="F55" s="370" t="str">
        <f t="shared" si="6"/>
        <v/>
      </c>
      <c r="G55" s="1618"/>
      <c r="H55" s="1619"/>
      <c r="I55" s="1138"/>
      <c r="J55" s="2258" t="str">
        <f t="shared" si="7"/>
        <v/>
      </c>
      <c r="K55" s="2258"/>
      <c r="L55" s="48"/>
      <c r="M55" s="48"/>
      <c r="N55" s="48"/>
      <c r="O55" s="48">
        <f t="shared" si="0"/>
        <v>0</v>
      </c>
      <c r="P55" s="48" t="s">
        <v>62</v>
      </c>
      <c r="Q55" s="37" t="str">
        <f t="shared" si="1"/>
        <v>/</v>
      </c>
      <c r="R55" s="37" t="str">
        <f t="shared" si="2"/>
        <v>/</v>
      </c>
      <c r="S55" s="37" t="str">
        <f t="shared" si="3"/>
        <v>/</v>
      </c>
      <c r="T55" s="37" t="str">
        <f t="shared" si="4"/>
        <v>/</v>
      </c>
      <c r="U55" s="37" t="str">
        <f t="shared" si="5"/>
        <v>/</v>
      </c>
    </row>
    <row r="56" spans="1:21" ht="16.5" customHeight="1" x14ac:dyDescent="0.25">
      <c r="A56" s="48"/>
      <c r="B56" s="1138"/>
      <c r="C56" s="1138" t="s">
        <v>62</v>
      </c>
      <c r="D56" s="1138" t="s">
        <v>62</v>
      </c>
      <c r="E56" s="1138"/>
      <c r="F56" s="370" t="str">
        <f t="shared" si="6"/>
        <v/>
      </c>
      <c r="G56" s="1618"/>
      <c r="H56" s="1619"/>
      <c r="I56" s="1138"/>
      <c r="J56" s="2258" t="str">
        <f t="shared" si="7"/>
        <v/>
      </c>
      <c r="K56" s="2258"/>
      <c r="L56" s="48"/>
      <c r="M56" s="48"/>
      <c r="N56" s="48"/>
      <c r="O56" s="48">
        <f t="shared" si="0"/>
        <v>0</v>
      </c>
      <c r="P56" s="48" t="s">
        <v>62</v>
      </c>
      <c r="Q56" s="37" t="str">
        <f t="shared" si="1"/>
        <v>/</v>
      </c>
      <c r="R56" s="37" t="str">
        <f t="shared" si="2"/>
        <v>/</v>
      </c>
      <c r="S56" s="37" t="str">
        <f t="shared" si="3"/>
        <v>/</v>
      </c>
      <c r="T56" s="37" t="str">
        <f t="shared" si="4"/>
        <v>/</v>
      </c>
      <c r="U56" s="37" t="str">
        <f t="shared" si="5"/>
        <v>/</v>
      </c>
    </row>
    <row r="57" spans="1:21" ht="16.5" customHeight="1" x14ac:dyDescent="0.25">
      <c r="A57" s="48"/>
      <c r="B57" s="1138"/>
      <c r="C57" s="1138" t="s">
        <v>62</v>
      </c>
      <c r="D57" s="1138" t="s">
        <v>62</v>
      </c>
      <c r="E57" s="1138"/>
      <c r="F57" s="370" t="str">
        <f t="shared" si="6"/>
        <v/>
      </c>
      <c r="G57" s="1618"/>
      <c r="H57" s="1619"/>
      <c r="I57" s="1138"/>
      <c r="J57" s="2258" t="str">
        <f t="shared" si="7"/>
        <v/>
      </c>
      <c r="K57" s="2258"/>
      <c r="L57" s="48"/>
      <c r="M57" s="48"/>
      <c r="N57" s="48"/>
      <c r="O57" s="48">
        <f t="shared" si="0"/>
        <v>0</v>
      </c>
      <c r="P57" s="48" t="s">
        <v>62</v>
      </c>
      <c r="Q57" s="37" t="str">
        <f t="shared" si="1"/>
        <v>/</v>
      </c>
      <c r="R57" s="37" t="str">
        <f t="shared" si="2"/>
        <v>/</v>
      </c>
      <c r="S57" s="37" t="str">
        <f t="shared" si="3"/>
        <v>/</v>
      </c>
      <c r="T57" s="37" t="str">
        <f t="shared" si="4"/>
        <v>/</v>
      </c>
      <c r="U57" s="37" t="str">
        <f t="shared" si="5"/>
        <v>/</v>
      </c>
    </row>
    <row r="58" spans="1:21" ht="16.5" customHeight="1" x14ac:dyDescent="0.25">
      <c r="A58" s="48"/>
      <c r="B58" s="1138"/>
      <c r="C58" s="1138" t="s">
        <v>62</v>
      </c>
      <c r="D58" s="1138" t="s">
        <v>62</v>
      </c>
      <c r="E58" s="1138"/>
      <c r="F58" s="370" t="str">
        <f t="shared" si="6"/>
        <v/>
      </c>
      <c r="G58" s="1618"/>
      <c r="H58" s="1619"/>
      <c r="I58" s="1138"/>
      <c r="J58" s="2258" t="str">
        <f t="shared" si="7"/>
        <v/>
      </c>
      <c r="K58" s="2258"/>
      <c r="L58" s="48"/>
      <c r="M58" s="48"/>
      <c r="N58" s="48"/>
      <c r="O58" s="48">
        <f t="shared" si="0"/>
        <v>0</v>
      </c>
      <c r="P58" s="48" t="s">
        <v>62</v>
      </c>
      <c r="Q58" s="37" t="str">
        <f t="shared" si="1"/>
        <v>/</v>
      </c>
      <c r="R58" s="37" t="str">
        <f t="shared" si="2"/>
        <v>/</v>
      </c>
      <c r="S58" s="37" t="str">
        <f t="shared" si="3"/>
        <v>/</v>
      </c>
      <c r="T58" s="37" t="str">
        <f t="shared" si="4"/>
        <v>/</v>
      </c>
      <c r="U58" s="37" t="str">
        <f t="shared" si="5"/>
        <v>/</v>
      </c>
    </row>
    <row r="59" spans="1:21" ht="16.5" customHeight="1" x14ac:dyDescent="0.25">
      <c r="A59" s="48"/>
      <c r="B59" s="1138"/>
      <c r="C59" s="1138" t="s">
        <v>62</v>
      </c>
      <c r="D59" s="1138" t="s">
        <v>62</v>
      </c>
      <c r="E59" s="1138"/>
      <c r="F59" s="370" t="str">
        <f t="shared" si="6"/>
        <v/>
      </c>
      <c r="G59" s="1618"/>
      <c r="H59" s="1619"/>
      <c r="I59" s="1138"/>
      <c r="J59" s="2258" t="str">
        <f t="shared" si="7"/>
        <v/>
      </c>
      <c r="K59" s="2258"/>
      <c r="L59" s="48"/>
      <c r="M59" s="48"/>
      <c r="N59" s="48"/>
      <c r="O59" s="48">
        <f t="shared" si="0"/>
        <v>0</v>
      </c>
      <c r="P59" s="48" t="s">
        <v>62</v>
      </c>
      <c r="Q59" s="37" t="str">
        <f t="shared" si="1"/>
        <v>/</v>
      </c>
      <c r="R59" s="37" t="str">
        <f t="shared" si="2"/>
        <v>/</v>
      </c>
      <c r="S59" s="37" t="str">
        <f t="shared" si="3"/>
        <v>/</v>
      </c>
      <c r="T59" s="37" t="str">
        <f t="shared" si="4"/>
        <v>/</v>
      </c>
      <c r="U59" s="37" t="str">
        <f t="shared" si="5"/>
        <v>/</v>
      </c>
    </row>
    <row r="60" spans="1:21" ht="16.5" customHeight="1" x14ac:dyDescent="0.25">
      <c r="A60" s="48"/>
      <c r="B60" s="1138"/>
      <c r="C60" s="1138" t="s">
        <v>62</v>
      </c>
      <c r="D60" s="1138" t="s">
        <v>62</v>
      </c>
      <c r="E60" s="1138"/>
      <c r="F60" s="370" t="str">
        <f t="shared" si="6"/>
        <v/>
      </c>
      <c r="G60" s="1618"/>
      <c r="H60" s="1619"/>
      <c r="I60" s="1138"/>
      <c r="J60" s="2258" t="str">
        <f t="shared" si="7"/>
        <v/>
      </c>
      <c r="K60" s="2258"/>
      <c r="L60" s="48"/>
      <c r="M60" s="48"/>
      <c r="N60" s="48"/>
      <c r="O60" s="48">
        <f t="shared" si="0"/>
        <v>0</v>
      </c>
      <c r="P60" s="48" t="s">
        <v>62</v>
      </c>
      <c r="Q60" s="37" t="str">
        <f t="shared" si="1"/>
        <v>/</v>
      </c>
      <c r="R60" s="37" t="str">
        <f t="shared" si="2"/>
        <v>/</v>
      </c>
      <c r="S60" s="37" t="str">
        <f t="shared" si="3"/>
        <v>/</v>
      </c>
      <c r="T60" s="37" t="str">
        <f t="shared" si="4"/>
        <v>/</v>
      </c>
      <c r="U60" s="37" t="str">
        <f t="shared" si="5"/>
        <v>/</v>
      </c>
    </row>
    <row r="61" spans="1:21" ht="16.5" customHeight="1" x14ac:dyDescent="0.25">
      <c r="A61" s="48"/>
      <c r="B61" s="1138"/>
      <c r="C61" s="1138" t="s">
        <v>62</v>
      </c>
      <c r="D61" s="1138" t="s">
        <v>62</v>
      </c>
      <c r="E61" s="1138"/>
      <c r="F61" s="370" t="str">
        <f t="shared" si="6"/>
        <v/>
      </c>
      <c r="G61" s="1618"/>
      <c r="H61" s="1619"/>
      <c r="I61" s="1138"/>
      <c r="J61" s="2258" t="str">
        <f t="shared" si="7"/>
        <v/>
      </c>
      <c r="K61" s="2258"/>
      <c r="L61" s="48"/>
      <c r="M61" s="48"/>
      <c r="N61" s="48"/>
      <c r="O61" s="48">
        <f t="shared" si="0"/>
        <v>0</v>
      </c>
      <c r="P61" s="48" t="s">
        <v>62</v>
      </c>
      <c r="Q61" s="37" t="str">
        <f t="shared" si="1"/>
        <v>/</v>
      </c>
      <c r="R61" s="37" t="str">
        <f t="shared" si="2"/>
        <v>/</v>
      </c>
      <c r="S61" s="37" t="str">
        <f t="shared" si="3"/>
        <v>/</v>
      </c>
      <c r="T61" s="37" t="str">
        <f t="shared" si="4"/>
        <v>/</v>
      </c>
      <c r="U61" s="37" t="str">
        <f t="shared" si="5"/>
        <v>/</v>
      </c>
    </row>
    <row r="62" spans="1:21" ht="16.5" customHeight="1" x14ac:dyDescent="0.25">
      <c r="A62" s="48"/>
      <c r="B62" s="1138"/>
      <c r="C62" s="1138" t="s">
        <v>62</v>
      </c>
      <c r="D62" s="1138" t="s">
        <v>62</v>
      </c>
      <c r="E62" s="1138"/>
      <c r="F62" s="370" t="str">
        <f t="shared" si="6"/>
        <v/>
      </c>
      <c r="G62" s="1618"/>
      <c r="H62" s="1619"/>
      <c r="I62" s="1138"/>
      <c r="J62" s="2258" t="str">
        <f t="shared" si="7"/>
        <v/>
      </c>
      <c r="K62" s="2258"/>
      <c r="L62" s="48"/>
      <c r="M62" s="48"/>
      <c r="N62" s="48"/>
      <c r="O62" s="48">
        <f t="shared" si="0"/>
        <v>0</v>
      </c>
      <c r="P62" s="48" t="s">
        <v>62</v>
      </c>
      <c r="Q62" s="37" t="str">
        <f t="shared" si="1"/>
        <v>/</v>
      </c>
      <c r="R62" s="37" t="str">
        <f t="shared" si="2"/>
        <v>/</v>
      </c>
      <c r="S62" s="37" t="str">
        <f t="shared" si="3"/>
        <v>/</v>
      </c>
      <c r="T62" s="37" t="str">
        <f t="shared" si="4"/>
        <v>/</v>
      </c>
      <c r="U62" s="37" t="str">
        <f t="shared" si="5"/>
        <v>/</v>
      </c>
    </row>
    <row r="63" spans="1:21" x14ac:dyDescent="0.25">
      <c r="A63" s="48"/>
      <c r="B63" s="1138"/>
      <c r="C63" s="1138" t="s">
        <v>62</v>
      </c>
      <c r="D63" s="1138" t="s">
        <v>62</v>
      </c>
      <c r="E63" s="1138"/>
      <c r="F63" s="370" t="str">
        <f t="shared" si="6"/>
        <v/>
      </c>
      <c r="G63" s="1618"/>
      <c r="H63" s="1619"/>
      <c r="I63" s="1138"/>
      <c r="J63" s="2258" t="str">
        <f t="shared" si="7"/>
        <v/>
      </c>
      <c r="K63" s="2258"/>
      <c r="L63" s="48"/>
      <c r="M63" s="48"/>
      <c r="N63" s="48"/>
      <c r="O63" s="48">
        <f t="shared" si="0"/>
        <v>0</v>
      </c>
      <c r="P63" s="48" t="s">
        <v>62</v>
      </c>
      <c r="Q63" s="37" t="str">
        <f t="shared" si="1"/>
        <v>/</v>
      </c>
      <c r="R63" s="37" t="str">
        <f t="shared" si="2"/>
        <v>/</v>
      </c>
      <c r="S63" s="37" t="str">
        <f t="shared" si="3"/>
        <v>/</v>
      </c>
      <c r="T63" s="37" t="str">
        <f t="shared" si="4"/>
        <v>/</v>
      </c>
      <c r="U63" s="37" t="str">
        <f t="shared" si="5"/>
        <v>/</v>
      </c>
    </row>
    <row r="64" spans="1:21" x14ac:dyDescent="0.25">
      <c r="A64" s="48"/>
      <c r="B64" s="1138"/>
      <c r="C64" s="1138" t="s">
        <v>62</v>
      </c>
      <c r="D64" s="1138" t="s">
        <v>62</v>
      </c>
      <c r="E64" s="1138"/>
      <c r="F64" s="370" t="str">
        <f t="shared" si="6"/>
        <v/>
      </c>
      <c r="G64" s="1618"/>
      <c r="H64" s="1619"/>
      <c r="I64" s="1138"/>
      <c r="J64" s="2258" t="str">
        <f t="shared" si="7"/>
        <v/>
      </c>
      <c r="K64" s="2258"/>
      <c r="L64" s="48"/>
      <c r="M64" s="48"/>
      <c r="N64" s="48"/>
      <c r="O64" s="48">
        <f t="shared" si="0"/>
        <v>0</v>
      </c>
      <c r="P64" s="48" t="s">
        <v>62</v>
      </c>
      <c r="Q64" s="37" t="str">
        <f t="shared" si="1"/>
        <v>/</v>
      </c>
      <c r="R64" s="37" t="str">
        <f t="shared" si="2"/>
        <v>/</v>
      </c>
      <c r="S64" s="37" t="str">
        <f t="shared" si="3"/>
        <v>/</v>
      </c>
      <c r="T64" s="37" t="str">
        <f t="shared" si="4"/>
        <v>/</v>
      </c>
      <c r="U64" s="37" t="str">
        <f t="shared" si="5"/>
        <v>/</v>
      </c>
    </row>
    <row r="65" spans="1:21" x14ac:dyDescent="0.25">
      <c r="A65" s="48"/>
      <c r="B65" s="1138"/>
      <c r="C65" s="1138" t="s">
        <v>62</v>
      </c>
      <c r="D65" s="1138" t="s">
        <v>62</v>
      </c>
      <c r="E65" s="1138"/>
      <c r="F65" s="370" t="str">
        <f t="shared" si="6"/>
        <v/>
      </c>
      <c r="G65" s="1618"/>
      <c r="H65" s="1619"/>
      <c r="I65" s="1138"/>
      <c r="J65" s="2258" t="str">
        <f t="shared" si="7"/>
        <v/>
      </c>
      <c r="K65" s="2258"/>
      <c r="L65" s="48"/>
      <c r="M65" s="48"/>
      <c r="N65" s="48"/>
      <c r="O65" s="48">
        <f t="shared" si="0"/>
        <v>0</v>
      </c>
      <c r="P65" s="48" t="s">
        <v>62</v>
      </c>
      <c r="Q65" s="37" t="str">
        <f t="shared" si="1"/>
        <v>/</v>
      </c>
      <c r="R65" s="37" t="str">
        <f t="shared" si="2"/>
        <v>/</v>
      </c>
      <c r="S65" s="37" t="str">
        <f t="shared" si="3"/>
        <v>/</v>
      </c>
      <c r="T65" s="37" t="str">
        <f t="shared" si="4"/>
        <v>/</v>
      </c>
      <c r="U65" s="37" t="str">
        <f t="shared" si="5"/>
        <v>/</v>
      </c>
    </row>
    <row r="66" spans="1:21" x14ac:dyDescent="0.25">
      <c r="A66" s="48"/>
      <c r="B66" s="1138"/>
      <c r="C66" s="1138" t="s">
        <v>62</v>
      </c>
      <c r="D66" s="1138" t="s">
        <v>62</v>
      </c>
      <c r="E66" s="1138"/>
      <c r="F66" s="370" t="str">
        <f t="shared" si="6"/>
        <v/>
      </c>
      <c r="G66" s="1618"/>
      <c r="H66" s="1619"/>
      <c r="I66" s="1138"/>
      <c r="J66" s="2258" t="str">
        <f t="shared" si="7"/>
        <v/>
      </c>
      <c r="K66" s="2258"/>
      <c r="L66" s="48"/>
      <c r="M66" s="48"/>
      <c r="N66" s="48"/>
      <c r="O66" s="48">
        <f t="shared" si="0"/>
        <v>0</v>
      </c>
      <c r="P66" s="48" t="s">
        <v>62</v>
      </c>
      <c r="Q66" s="37" t="str">
        <f t="shared" si="1"/>
        <v>/</v>
      </c>
      <c r="R66" s="37" t="str">
        <f t="shared" si="2"/>
        <v>/</v>
      </c>
      <c r="S66" s="37" t="str">
        <f t="shared" si="3"/>
        <v>/</v>
      </c>
      <c r="T66" s="37" t="str">
        <f t="shared" si="4"/>
        <v>/</v>
      </c>
      <c r="U66" s="37" t="str">
        <f t="shared" si="5"/>
        <v>/</v>
      </c>
    </row>
    <row r="67" spans="1:21" x14ac:dyDescent="0.25">
      <c r="A67" s="48"/>
      <c r="B67" s="1138"/>
      <c r="C67" s="1138" t="s">
        <v>62</v>
      </c>
      <c r="D67" s="1138" t="s">
        <v>62</v>
      </c>
      <c r="E67" s="1138"/>
      <c r="F67" s="370" t="str">
        <f t="shared" si="6"/>
        <v/>
      </c>
      <c r="G67" s="1618"/>
      <c r="H67" s="1619"/>
      <c r="I67" s="1138"/>
      <c r="J67" s="2258" t="str">
        <f t="shared" si="7"/>
        <v/>
      </c>
      <c r="K67" s="2258"/>
      <c r="L67" s="48"/>
      <c r="M67" s="48"/>
      <c r="N67" s="48"/>
      <c r="O67" s="48">
        <f t="shared" si="0"/>
        <v>0</v>
      </c>
      <c r="P67" s="48" t="s">
        <v>62</v>
      </c>
      <c r="Q67" s="37" t="str">
        <f t="shared" si="1"/>
        <v>/</v>
      </c>
      <c r="R67" s="37" t="str">
        <f t="shared" si="2"/>
        <v>/</v>
      </c>
      <c r="S67" s="37" t="str">
        <f t="shared" si="3"/>
        <v>/</v>
      </c>
      <c r="T67" s="37" t="str">
        <f t="shared" si="4"/>
        <v>/</v>
      </c>
      <c r="U67" s="37" t="str">
        <f t="shared" si="5"/>
        <v>/</v>
      </c>
    </row>
    <row r="68" spans="1:21" x14ac:dyDescent="0.25">
      <c r="A68" s="48"/>
      <c r="B68" s="1138"/>
      <c r="C68" s="1138" t="s">
        <v>62</v>
      </c>
      <c r="D68" s="1138" t="s">
        <v>62</v>
      </c>
      <c r="E68" s="1138"/>
      <c r="F68" s="370" t="str">
        <f t="shared" si="6"/>
        <v/>
      </c>
      <c r="G68" s="1618"/>
      <c r="H68" s="1619"/>
      <c r="I68" s="1138"/>
      <c r="J68" s="2258" t="str">
        <f t="shared" si="7"/>
        <v/>
      </c>
      <c r="K68" s="2258"/>
      <c r="L68" s="48"/>
      <c r="M68" s="48"/>
      <c r="N68" s="48"/>
      <c r="O68" s="48">
        <f t="shared" si="0"/>
        <v>0</v>
      </c>
      <c r="P68" s="48" t="s">
        <v>62</v>
      </c>
      <c r="Q68" s="37" t="str">
        <f>IF($C68="lighting purpose 1","Application 1.1",IF($C68="lighting purpose 2","Application 2.1",IF($C68="lighting purpose 3","Application 3.0","/")))</f>
        <v>/</v>
      </c>
      <c r="R68" s="37" t="str">
        <f t="shared" si="2"/>
        <v>/</v>
      </c>
      <c r="S68" s="37" t="str">
        <f t="shared" si="3"/>
        <v>/</v>
      </c>
      <c r="T68" s="37" t="str">
        <f t="shared" si="4"/>
        <v>/</v>
      </c>
      <c r="U68" s="37" t="str">
        <f t="shared" si="5"/>
        <v>/</v>
      </c>
    </row>
    <row r="69" spans="1:21" x14ac:dyDescent="0.25">
      <c r="A69" s="48"/>
      <c r="B69" s="49"/>
      <c r="C69" s="759"/>
      <c r="D69" s="759"/>
      <c r="E69" s="759"/>
      <c r="F69" s="48"/>
      <c r="G69" s="48"/>
      <c r="H69" s="48"/>
      <c r="I69" s="48"/>
      <c r="J69" s="48"/>
      <c r="K69" s="48"/>
      <c r="L69" s="48"/>
      <c r="M69" s="48"/>
    </row>
    <row r="70" spans="1:21" ht="18" customHeight="1" x14ac:dyDescent="0.25">
      <c r="A70" s="48"/>
      <c r="B70" s="2128" t="s">
        <v>653</v>
      </c>
      <c r="C70" s="2129"/>
      <c r="D70" s="2129"/>
      <c r="E70" s="2130"/>
      <c r="F70" s="70">
        <f>IFERROR(SUM(O49:O68)/SUM(E49:E68),0)</f>
        <v>0</v>
      </c>
      <c r="G70" s="48"/>
      <c r="H70" s="48"/>
      <c r="I70" s="48"/>
      <c r="J70" s="48"/>
      <c r="K70" s="48"/>
      <c r="L70" s="48"/>
      <c r="M70" s="48"/>
    </row>
    <row r="71" spans="1:21" ht="16.5" customHeight="1" x14ac:dyDescent="0.25">
      <c r="A71" s="48"/>
      <c r="B71" s="49"/>
      <c r="C71" s="49"/>
      <c r="D71" s="49"/>
      <c r="E71" s="48"/>
      <c r="F71" s="48"/>
      <c r="G71" s="48"/>
      <c r="H71" s="48"/>
      <c r="I71" s="48"/>
      <c r="J71" s="48"/>
      <c r="K71" s="48"/>
      <c r="L71" s="48"/>
      <c r="M71" s="48"/>
    </row>
    <row r="72" spans="1:21" ht="16.5" customHeight="1" x14ac:dyDescent="0.25">
      <c r="A72" s="2115" t="s">
        <v>97</v>
      </c>
      <c r="B72" s="2115"/>
      <c r="C72" s="2115"/>
      <c r="D72" s="49"/>
      <c r="E72" s="49"/>
      <c r="F72" s="49"/>
      <c r="G72" s="49"/>
      <c r="H72" s="49"/>
      <c r="I72" s="49"/>
      <c r="J72" s="49"/>
      <c r="K72" s="49"/>
      <c r="L72" s="49"/>
      <c r="M72" s="48"/>
    </row>
    <row r="73" spans="1:21" x14ac:dyDescent="0.25">
      <c r="A73" s="48"/>
      <c r="B73" s="49"/>
      <c r="C73" s="49"/>
      <c r="D73" s="49"/>
      <c r="E73" s="48"/>
      <c r="F73" s="48"/>
      <c r="G73" s="48"/>
      <c r="H73" s="48"/>
      <c r="I73" s="48"/>
      <c r="J73" s="48"/>
      <c r="K73" s="48"/>
      <c r="L73" s="48"/>
      <c r="M73" s="48"/>
    </row>
    <row r="74" spans="1:21" ht="21" customHeight="1" x14ac:dyDescent="0.25">
      <c r="A74" s="48"/>
      <c r="B74" s="2093" t="s">
        <v>98</v>
      </c>
      <c r="C74" s="2094"/>
      <c r="D74" s="2094"/>
      <c r="E74" s="2094"/>
      <c r="F74" s="2094"/>
      <c r="G74" s="256" t="s">
        <v>1297</v>
      </c>
      <c r="H74" s="2095" t="s">
        <v>1298</v>
      </c>
      <c r="I74" s="2136"/>
      <c r="J74" s="48"/>
      <c r="K74" s="48"/>
      <c r="L74" s="48"/>
      <c r="M74" s="48"/>
    </row>
    <row r="75" spans="1:21" ht="30" customHeight="1" x14ac:dyDescent="0.25">
      <c r="A75" s="48"/>
      <c r="B75" s="1644" t="str">
        <f>Submittals!H114</f>
        <v>Select the Submission Stage in Project Information</v>
      </c>
      <c r="C75" s="1645"/>
      <c r="D75" s="1645"/>
      <c r="E75" s="1645"/>
      <c r="F75" s="1645"/>
      <c r="G75" s="827" t="s">
        <v>62</v>
      </c>
      <c r="H75" s="1684"/>
      <c r="I75" s="2239"/>
      <c r="J75" s="48"/>
      <c r="K75" s="48"/>
      <c r="L75" s="48"/>
      <c r="M75" s="48"/>
      <c r="N75" s="37" t="str">
        <f>IF(OR(B75="/",B75="No evidence required at this submission stage"),"Yes",IF(G75="Submitted","Yes","No"))</f>
        <v>No</v>
      </c>
    </row>
    <row r="76" spans="1:21" ht="30" customHeight="1" x14ac:dyDescent="0.25">
      <c r="A76" s="48"/>
      <c r="B76" s="1644" t="str">
        <f>Submittals!H116</f>
        <v>Select the Submission Stage in Project Information</v>
      </c>
      <c r="C76" s="1645"/>
      <c r="D76" s="1645"/>
      <c r="E76" s="1645"/>
      <c r="F76" s="1645"/>
      <c r="G76" s="827" t="s">
        <v>62</v>
      </c>
      <c r="H76" s="1684"/>
      <c r="I76" s="2239"/>
      <c r="J76" s="48"/>
      <c r="K76" s="48"/>
      <c r="L76" s="48"/>
      <c r="M76" s="48"/>
      <c r="N76" s="37" t="str">
        <f>IF(OR(B76="/",B76="No evidence required at this submission stage"),"Yes",IF(G76="Submitted","Yes","No"))</f>
        <v>No</v>
      </c>
    </row>
    <row r="77" spans="1:21" ht="16.5" customHeight="1" x14ac:dyDescent="0.25">
      <c r="A77" s="48"/>
      <c r="B77" s="49"/>
      <c r="C77" s="49"/>
      <c r="D77" s="49"/>
      <c r="E77" s="48"/>
      <c r="F77" s="48"/>
      <c r="G77" s="48"/>
      <c r="H77" s="48"/>
      <c r="I77" s="48"/>
      <c r="J77" s="48"/>
      <c r="K77" s="48"/>
      <c r="L77" s="48"/>
      <c r="M77" s="48"/>
    </row>
    <row r="78" spans="1:21" ht="16.5" customHeight="1" x14ac:dyDescent="0.25">
      <c r="A78" s="2115" t="s">
        <v>8</v>
      </c>
      <c r="B78" s="2115"/>
      <c r="C78" s="2115"/>
      <c r="D78" s="49"/>
      <c r="E78" s="48"/>
      <c r="F78" s="48"/>
      <c r="G78" s="48"/>
      <c r="H78" s="48"/>
      <c r="I78" s="48"/>
      <c r="J78" s="48"/>
      <c r="K78" s="48"/>
      <c r="L78" s="48"/>
      <c r="M78" s="48"/>
    </row>
    <row r="79" spans="1:21" ht="16.5" customHeight="1" x14ac:dyDescent="0.25">
      <c r="A79" s="48"/>
      <c r="B79" s="49"/>
      <c r="C79" s="49"/>
      <c r="D79" s="49"/>
      <c r="E79" s="48"/>
      <c r="F79" s="48"/>
      <c r="G79" s="48"/>
      <c r="H79" s="48"/>
      <c r="I79" s="48"/>
      <c r="J79" s="48"/>
      <c r="K79" s="48"/>
      <c r="L79" s="48"/>
      <c r="M79" s="48"/>
    </row>
    <row r="80" spans="1:21" ht="18" customHeight="1" x14ac:dyDescent="0.25">
      <c r="A80" s="48"/>
      <c r="B80" s="145" t="s">
        <v>606</v>
      </c>
      <c r="C80" s="8" t="str">
        <f>IF(F70&gt;=0.95,"Yes","No")</f>
        <v>No</v>
      </c>
      <c r="D80" s="49"/>
      <c r="E80" s="48"/>
      <c r="F80" s="48"/>
      <c r="G80" s="48"/>
      <c r="H80" s="48"/>
      <c r="I80" s="48"/>
      <c r="J80" s="48"/>
      <c r="K80" s="48"/>
      <c r="L80" s="48"/>
      <c r="M80" s="48"/>
    </row>
    <row r="81" spans="1:14" ht="18" customHeight="1" x14ac:dyDescent="0.25">
      <c r="A81" s="48"/>
      <c r="B81" s="146" t="s">
        <v>151</v>
      </c>
      <c r="C81" s="7" t="str">
        <f>IF(AND(COUNTIF(N75:N76,"Yes")=2,C80="Yes"),"Yes","No")</f>
        <v>No</v>
      </c>
      <c r="D81" s="49"/>
      <c r="E81" s="48"/>
      <c r="F81" s="48"/>
      <c r="G81" s="48"/>
      <c r="H81" s="48"/>
      <c r="I81" s="48"/>
      <c r="J81" s="48"/>
      <c r="K81" s="48"/>
      <c r="L81" s="48"/>
      <c r="M81" s="48"/>
    </row>
    <row r="82" spans="1:14" ht="21" customHeight="1" x14ac:dyDescent="0.25">
      <c r="A82" s="48"/>
      <c r="B82" s="48"/>
      <c r="C82" s="48"/>
      <c r="D82" s="48"/>
      <c r="E82" s="48"/>
      <c r="F82" s="48"/>
      <c r="G82" s="48"/>
      <c r="H82" s="48"/>
      <c r="I82" s="48"/>
      <c r="J82" s="48"/>
      <c r="K82" s="48"/>
      <c r="L82" s="48"/>
      <c r="M82" s="48"/>
    </row>
    <row r="83" spans="1:14" ht="18.75" customHeight="1" x14ac:dyDescent="0.25">
      <c r="A83" s="2092" t="s">
        <v>654</v>
      </c>
      <c r="B83" s="2092"/>
      <c r="C83" s="2092"/>
      <c r="D83" s="2092"/>
      <c r="E83" s="2092"/>
      <c r="F83" s="2092"/>
      <c r="G83" s="2092"/>
      <c r="H83" s="2092"/>
      <c r="I83" s="2092"/>
      <c r="J83" s="2092"/>
      <c r="K83" s="2092"/>
      <c r="L83" s="2092"/>
      <c r="M83" s="2092"/>
    </row>
    <row r="84" spans="1:14" x14ac:dyDescent="0.25">
      <c r="A84" s="48"/>
      <c r="B84" s="49"/>
      <c r="C84" s="49"/>
      <c r="D84" s="49"/>
      <c r="E84" s="48"/>
      <c r="F84" s="48"/>
      <c r="G84" s="48"/>
      <c r="H84" s="48"/>
      <c r="I84" s="48"/>
      <c r="J84" s="48"/>
      <c r="K84" s="48"/>
      <c r="L84" s="48"/>
      <c r="M84" s="48"/>
    </row>
    <row r="85" spans="1:14" ht="16.5" customHeight="1" x14ac:dyDescent="0.25">
      <c r="A85" s="48"/>
      <c r="B85" s="1068" t="s">
        <v>1968</v>
      </c>
      <c r="C85" s="49"/>
      <c r="D85" s="49"/>
      <c r="E85" s="48"/>
      <c r="F85" s="48"/>
      <c r="G85" s="48"/>
      <c r="H85" s="48"/>
      <c r="I85" s="48"/>
      <c r="J85" s="48"/>
      <c r="K85" s="48"/>
      <c r="L85" s="48"/>
      <c r="M85" s="48"/>
    </row>
    <row r="86" spans="1:14" ht="17.25" customHeight="1" x14ac:dyDescent="0.25">
      <c r="A86" s="48"/>
      <c r="B86" s="428"/>
      <c r="C86" s="49"/>
      <c r="D86" s="49"/>
      <c r="E86" s="48"/>
      <c r="F86" s="48"/>
      <c r="G86" s="48"/>
      <c r="H86" s="48"/>
      <c r="I86" s="48"/>
      <c r="J86" s="48"/>
      <c r="K86" s="48"/>
      <c r="L86" s="48"/>
      <c r="M86" s="48"/>
    </row>
    <row r="87" spans="1:14" ht="16.5" customHeight="1" x14ac:dyDescent="0.25">
      <c r="A87" s="2115" t="s">
        <v>117</v>
      </c>
      <c r="B87" s="2115"/>
      <c r="C87" s="2115"/>
      <c r="D87" s="48"/>
      <c r="E87" s="49"/>
      <c r="F87" s="48"/>
      <c r="G87" s="48"/>
      <c r="H87" s="48"/>
      <c r="I87" s="48"/>
      <c r="J87" s="48"/>
      <c r="K87" s="48"/>
      <c r="L87" s="48"/>
      <c r="M87" s="48"/>
    </row>
    <row r="88" spans="1:14" x14ac:dyDescent="0.25">
      <c r="A88" s="48"/>
      <c r="B88" s="48"/>
      <c r="C88" s="48"/>
      <c r="D88" s="48"/>
      <c r="E88" s="49"/>
      <c r="F88" s="48"/>
      <c r="G88" s="48"/>
      <c r="H88" s="48"/>
      <c r="I88" s="48"/>
      <c r="J88" s="48"/>
      <c r="K88" s="48"/>
      <c r="L88" s="48"/>
      <c r="M88" s="48"/>
    </row>
    <row r="89" spans="1:14" x14ac:dyDescent="0.25">
      <c r="A89" s="48"/>
      <c r="B89" s="1159" t="s">
        <v>2531</v>
      </c>
      <c r="C89" s="48"/>
      <c r="D89" s="48"/>
      <c r="E89" s="49"/>
      <c r="F89" s="48"/>
      <c r="G89" s="48"/>
      <c r="H89" s="48"/>
      <c r="I89" s="48"/>
      <c r="J89" s="48"/>
      <c r="K89" s="48"/>
      <c r="L89" s="48"/>
      <c r="M89" s="48"/>
    </row>
    <row r="90" spans="1:14" ht="17.25" customHeight="1" x14ac:dyDescent="0.25">
      <c r="A90" s="48"/>
      <c r="B90" s="48"/>
      <c r="C90" s="48"/>
      <c r="D90" s="48"/>
      <c r="E90" s="49"/>
      <c r="F90" s="48"/>
      <c r="G90" s="48"/>
      <c r="H90" s="48"/>
      <c r="I90" s="48"/>
      <c r="J90" s="48"/>
      <c r="K90" s="48"/>
      <c r="L90" s="48"/>
      <c r="M90" s="48"/>
    </row>
    <row r="91" spans="1:14" x14ac:dyDescent="0.25">
      <c r="A91" s="48"/>
      <c r="B91" s="597" t="s">
        <v>2532</v>
      </c>
      <c r="C91" s="48"/>
      <c r="D91" s="48"/>
      <c r="E91" s="49"/>
      <c r="F91" s="48"/>
      <c r="G91" s="48"/>
      <c r="H91" s="48"/>
      <c r="I91" s="48"/>
      <c r="J91" s="48"/>
      <c r="K91" s="48"/>
      <c r="L91" s="48"/>
      <c r="M91" s="48"/>
    </row>
    <row r="92" spans="1:14" ht="11.25" customHeight="1" x14ac:dyDescent="0.25">
      <c r="A92" s="48"/>
      <c r="B92" s="48"/>
      <c r="C92" s="48"/>
      <c r="D92" s="48"/>
      <c r="E92" s="49"/>
      <c r="F92" s="48"/>
      <c r="G92" s="48"/>
      <c r="H92" s="48"/>
      <c r="I92" s="48"/>
      <c r="J92" s="48"/>
      <c r="K92" s="48"/>
      <c r="L92" s="48"/>
      <c r="M92" s="48"/>
    </row>
    <row r="93" spans="1:14" ht="11.25" customHeight="1" x14ac:dyDescent="0.25">
      <c r="A93" s="48"/>
      <c r="B93" s="48"/>
      <c r="C93" s="48"/>
      <c r="D93" s="48"/>
      <c r="E93" s="49"/>
      <c r="F93" s="48"/>
      <c r="G93" s="48"/>
      <c r="H93" s="48"/>
      <c r="I93" s="48"/>
      <c r="J93" s="48"/>
      <c r="K93" s="48"/>
      <c r="L93" s="48"/>
      <c r="M93" s="48"/>
    </row>
    <row r="94" spans="1:14" x14ac:dyDescent="0.25">
      <c r="A94" s="48"/>
      <c r="B94" s="1267" t="s">
        <v>1216</v>
      </c>
      <c r="C94" s="48"/>
      <c r="D94" s="48"/>
      <c r="E94" s="49"/>
      <c r="F94" s="48"/>
      <c r="G94" s="48"/>
      <c r="H94" s="48"/>
      <c r="I94" s="48"/>
      <c r="J94" s="48"/>
      <c r="K94" s="48"/>
      <c r="L94" s="48"/>
      <c r="M94" s="48"/>
    </row>
    <row r="95" spans="1:14" x14ac:dyDescent="0.25">
      <c r="A95" s="48"/>
      <c r="B95" s="48"/>
      <c r="C95" s="48"/>
      <c r="D95" s="48"/>
      <c r="E95" s="49"/>
      <c r="F95" s="48"/>
      <c r="G95" s="48"/>
      <c r="H95" s="48"/>
      <c r="I95" s="48"/>
      <c r="J95" s="48"/>
      <c r="K95" s="48"/>
      <c r="L95" s="48"/>
      <c r="M95" s="48"/>
    </row>
    <row r="96" spans="1:14" ht="27" customHeight="1" x14ac:dyDescent="0.25">
      <c r="A96" s="48"/>
      <c r="B96" s="1270" t="s">
        <v>1654</v>
      </c>
      <c r="C96" s="1269" t="s">
        <v>608</v>
      </c>
      <c r="D96" s="1269" t="s">
        <v>2530</v>
      </c>
      <c r="E96" s="1269" t="s">
        <v>1926</v>
      </c>
      <c r="F96" s="1269" t="s">
        <v>1946</v>
      </c>
      <c r="G96" s="1268" t="s">
        <v>89</v>
      </c>
      <c r="H96" s="2110" t="s">
        <v>15</v>
      </c>
      <c r="I96" s="2114"/>
      <c r="J96" s="48"/>
      <c r="K96" s="48"/>
      <c r="L96" s="48"/>
      <c r="M96" s="48"/>
      <c r="N96" s="48"/>
    </row>
    <row r="97" spans="1:14" ht="16.5" customHeight="1" x14ac:dyDescent="0.25">
      <c r="A97" s="48"/>
      <c r="B97" s="375"/>
      <c r="C97" s="376"/>
      <c r="D97" s="1266"/>
      <c r="E97" s="1040"/>
      <c r="F97" s="376"/>
      <c r="G97" s="181" t="str">
        <f>IF(F97&lt;&gt;"",IF(F97&gt;=E97,"Yes","No"),"")</f>
        <v/>
      </c>
      <c r="H97" s="1686"/>
      <c r="I97" s="1686"/>
      <c r="J97" s="48"/>
      <c r="K97" s="48"/>
      <c r="L97" s="48"/>
      <c r="M97" s="48"/>
      <c r="N97" s="48"/>
    </row>
    <row r="98" spans="1:14" ht="16.5" customHeight="1" x14ac:dyDescent="0.25">
      <c r="A98" s="48"/>
      <c r="B98" s="1041"/>
      <c r="C98" s="1040"/>
      <c r="D98" s="1266"/>
      <c r="E98" s="1040"/>
      <c r="F98" s="1040"/>
      <c r="G98" s="181" t="str">
        <f t="shared" ref="G98:G112" si="8">IF(F98&lt;&gt;"",IF(F98&gt;=E98,"Yes","No"),"")</f>
        <v/>
      </c>
      <c r="H98" s="1686"/>
      <c r="I98" s="1686"/>
      <c r="J98" s="48"/>
      <c r="K98" s="48"/>
      <c r="L98" s="48"/>
      <c r="M98" s="48"/>
      <c r="N98" s="48"/>
    </row>
    <row r="99" spans="1:14" ht="16.5" customHeight="1" x14ac:dyDescent="0.25">
      <c r="A99" s="48"/>
      <c r="B99" s="1041"/>
      <c r="C99" s="1040"/>
      <c r="D99" s="1266"/>
      <c r="E99" s="1040"/>
      <c r="F99" s="1040"/>
      <c r="G99" s="181" t="str">
        <f t="shared" si="8"/>
        <v/>
      </c>
      <c r="H99" s="1686"/>
      <c r="I99" s="1686"/>
      <c r="J99" s="48"/>
      <c r="K99" s="48"/>
      <c r="L99" s="48"/>
      <c r="M99" s="48"/>
      <c r="N99" s="48"/>
    </row>
    <row r="100" spans="1:14" ht="16.5" customHeight="1" x14ac:dyDescent="0.25">
      <c r="A100" s="48"/>
      <c r="B100" s="1041"/>
      <c r="C100" s="1040"/>
      <c r="D100" s="1266"/>
      <c r="E100" s="1040"/>
      <c r="F100" s="1040"/>
      <c r="G100" s="181" t="str">
        <f t="shared" si="8"/>
        <v/>
      </c>
      <c r="H100" s="1686"/>
      <c r="I100" s="1686"/>
      <c r="J100" s="48"/>
      <c r="K100" s="48"/>
      <c r="L100" s="48"/>
      <c r="M100" s="48"/>
      <c r="N100" s="48"/>
    </row>
    <row r="101" spans="1:14" ht="16.5" customHeight="1" x14ac:dyDescent="0.25">
      <c r="A101" s="48"/>
      <c r="B101" s="1041"/>
      <c r="C101" s="1040"/>
      <c r="D101" s="1266"/>
      <c r="E101" s="1040"/>
      <c r="F101" s="1040"/>
      <c r="G101" s="181" t="str">
        <f t="shared" si="8"/>
        <v/>
      </c>
      <c r="H101" s="1686"/>
      <c r="I101" s="1686"/>
      <c r="J101" s="48"/>
      <c r="K101" s="48"/>
      <c r="L101" s="48"/>
      <c r="M101" s="48"/>
      <c r="N101" s="48"/>
    </row>
    <row r="102" spans="1:14" ht="16.5" customHeight="1" x14ac:dyDescent="0.25">
      <c r="A102" s="48"/>
      <c r="B102" s="1041"/>
      <c r="C102" s="1040"/>
      <c r="D102" s="1266"/>
      <c r="E102" s="1040"/>
      <c r="F102" s="1040"/>
      <c r="G102" s="181" t="str">
        <f t="shared" si="8"/>
        <v/>
      </c>
      <c r="H102" s="1686"/>
      <c r="I102" s="1686"/>
      <c r="J102" s="48"/>
      <c r="K102" s="48"/>
      <c r="L102" s="48"/>
      <c r="M102" s="48"/>
      <c r="N102" s="48"/>
    </row>
    <row r="103" spans="1:14" ht="16.5" customHeight="1" x14ac:dyDescent="0.25">
      <c r="A103" s="48"/>
      <c r="B103" s="1041"/>
      <c r="C103" s="1040"/>
      <c r="D103" s="1266"/>
      <c r="E103" s="1040"/>
      <c r="F103" s="1040"/>
      <c r="G103" s="181" t="str">
        <f t="shared" si="8"/>
        <v/>
      </c>
      <c r="H103" s="1686"/>
      <c r="I103" s="1686"/>
      <c r="J103" s="48"/>
      <c r="K103" s="48"/>
      <c r="L103" s="48"/>
      <c r="M103" s="48"/>
      <c r="N103" s="48"/>
    </row>
    <row r="104" spans="1:14" ht="16.5" customHeight="1" x14ac:dyDescent="0.25">
      <c r="A104" s="48"/>
      <c r="B104" s="1041"/>
      <c r="C104" s="1040"/>
      <c r="D104" s="1266"/>
      <c r="E104" s="1040"/>
      <c r="F104" s="1040"/>
      <c r="G104" s="181" t="str">
        <f t="shared" si="8"/>
        <v/>
      </c>
      <c r="H104" s="1686"/>
      <c r="I104" s="1686"/>
      <c r="J104" s="48"/>
      <c r="K104" s="48"/>
      <c r="L104" s="48"/>
      <c r="M104" s="48"/>
      <c r="N104" s="48"/>
    </row>
    <row r="105" spans="1:14" ht="16.5" customHeight="1" x14ac:dyDescent="0.25">
      <c r="A105" s="48"/>
      <c r="B105" s="1041"/>
      <c r="C105" s="1040"/>
      <c r="D105" s="1266"/>
      <c r="E105" s="1040"/>
      <c r="F105" s="1040"/>
      <c r="G105" s="181" t="str">
        <f t="shared" si="8"/>
        <v/>
      </c>
      <c r="H105" s="1686"/>
      <c r="I105" s="1686"/>
      <c r="J105" s="48"/>
      <c r="K105" s="48"/>
      <c r="L105" s="48"/>
      <c r="M105" s="48"/>
      <c r="N105" s="48"/>
    </row>
    <row r="106" spans="1:14" ht="16.5" customHeight="1" x14ac:dyDescent="0.25">
      <c r="A106" s="48"/>
      <c r="B106" s="1041"/>
      <c r="C106" s="1040"/>
      <c r="D106" s="1266"/>
      <c r="E106" s="1040"/>
      <c r="F106" s="1040"/>
      <c r="G106" s="181" t="str">
        <f t="shared" si="8"/>
        <v/>
      </c>
      <c r="H106" s="1686"/>
      <c r="I106" s="1686"/>
      <c r="J106" s="48"/>
      <c r="K106" s="48"/>
      <c r="L106" s="48"/>
      <c r="M106" s="48"/>
      <c r="N106" s="48"/>
    </row>
    <row r="107" spans="1:14" ht="16.5" customHeight="1" x14ac:dyDescent="0.25">
      <c r="A107" s="48"/>
      <c r="B107" s="1041"/>
      <c r="C107" s="1040"/>
      <c r="D107" s="1266"/>
      <c r="E107" s="1040"/>
      <c r="F107" s="1040"/>
      <c r="G107" s="181" t="str">
        <f t="shared" si="8"/>
        <v/>
      </c>
      <c r="H107" s="1686"/>
      <c r="I107" s="1686"/>
      <c r="J107" s="48"/>
      <c r="K107" s="48"/>
      <c r="L107" s="48"/>
      <c r="M107" s="48"/>
      <c r="N107" s="48"/>
    </row>
    <row r="108" spans="1:14" ht="16.5" customHeight="1" x14ac:dyDescent="0.25">
      <c r="A108" s="48"/>
      <c r="B108" s="1041"/>
      <c r="C108" s="1040"/>
      <c r="D108" s="1266"/>
      <c r="E108" s="1040"/>
      <c r="F108" s="1040"/>
      <c r="G108" s="181" t="str">
        <f t="shared" si="8"/>
        <v/>
      </c>
      <c r="H108" s="1686"/>
      <c r="I108" s="1686"/>
      <c r="J108" s="48"/>
      <c r="K108" s="48"/>
      <c r="L108" s="48"/>
      <c r="M108" s="48"/>
      <c r="N108" s="48"/>
    </row>
    <row r="109" spans="1:14" ht="16.5" customHeight="1" x14ac:dyDescent="0.25">
      <c r="A109" s="48"/>
      <c r="B109" s="1041"/>
      <c r="C109" s="1040"/>
      <c r="D109" s="1266"/>
      <c r="E109" s="1040"/>
      <c r="F109" s="1040"/>
      <c r="G109" s="181" t="str">
        <f t="shared" si="8"/>
        <v/>
      </c>
      <c r="H109" s="1686"/>
      <c r="I109" s="1686"/>
      <c r="J109" s="48"/>
      <c r="K109" s="48"/>
      <c r="L109" s="48"/>
      <c r="M109" s="48"/>
      <c r="N109" s="48"/>
    </row>
    <row r="110" spans="1:14" ht="16.5" customHeight="1" x14ac:dyDescent="0.25">
      <c r="A110" s="48"/>
      <c r="B110" s="1041"/>
      <c r="C110" s="1040"/>
      <c r="D110" s="1266"/>
      <c r="E110" s="1040"/>
      <c r="F110" s="1040"/>
      <c r="G110" s="181" t="str">
        <f t="shared" si="8"/>
        <v/>
      </c>
      <c r="H110" s="1686"/>
      <c r="I110" s="1686"/>
      <c r="J110" s="48"/>
      <c r="K110" s="48"/>
      <c r="L110" s="48"/>
      <c r="M110" s="48"/>
      <c r="N110" s="48"/>
    </row>
    <row r="111" spans="1:14" ht="16.5" customHeight="1" x14ac:dyDescent="0.25">
      <c r="A111" s="48"/>
      <c r="B111" s="1041"/>
      <c r="C111" s="1040"/>
      <c r="D111" s="1266"/>
      <c r="E111" s="1040"/>
      <c r="F111" s="1040"/>
      <c r="G111" s="181" t="str">
        <f t="shared" si="8"/>
        <v/>
      </c>
      <c r="H111" s="1686"/>
      <c r="I111" s="1686"/>
      <c r="J111" s="48"/>
      <c r="K111" s="48"/>
      <c r="L111" s="48"/>
      <c r="M111" s="48"/>
      <c r="N111" s="48"/>
    </row>
    <row r="112" spans="1:14" ht="16.5" customHeight="1" x14ac:dyDescent="0.25">
      <c r="A112" s="48"/>
      <c r="B112" s="1041"/>
      <c r="C112" s="1040"/>
      <c r="D112" s="1266"/>
      <c r="E112" s="1040"/>
      <c r="F112" s="1040"/>
      <c r="G112" s="181" t="str">
        <f t="shared" si="8"/>
        <v/>
      </c>
      <c r="H112" s="1686"/>
      <c r="I112" s="1686"/>
      <c r="J112" s="48"/>
      <c r="K112" s="48"/>
      <c r="L112" s="48"/>
      <c r="M112" s="48"/>
      <c r="N112" s="48"/>
    </row>
    <row r="113" spans="1:14" ht="16.5" customHeight="1" x14ac:dyDescent="0.25">
      <c r="A113" s="48"/>
      <c r="B113" s="49"/>
      <c r="C113" s="49"/>
      <c r="D113" s="49"/>
      <c r="E113" s="49"/>
      <c r="F113" s="48"/>
      <c r="G113" s="48"/>
      <c r="H113" s="48"/>
      <c r="I113" s="48"/>
      <c r="J113" s="48"/>
      <c r="K113" s="48"/>
      <c r="L113" s="48"/>
      <c r="M113" s="48"/>
    </row>
    <row r="114" spans="1:14" ht="18" customHeight="1" x14ac:dyDescent="0.25">
      <c r="A114" s="48"/>
      <c r="B114" s="2102" t="s">
        <v>1947</v>
      </c>
      <c r="C114" s="2102"/>
      <c r="D114" s="70" t="str">
        <f>IF(COUNTIF(G97:G112,"No")=0,IF(COUNTIF(G97:G112,"Yes")&gt;0,"Yes","No"),"No")</f>
        <v>No</v>
      </c>
      <c r="E114" s="48"/>
      <c r="F114" s="48"/>
      <c r="G114" s="48"/>
      <c r="H114" s="48"/>
      <c r="I114" s="48"/>
      <c r="J114" s="48"/>
      <c r="K114" s="48"/>
      <c r="L114" s="48"/>
      <c r="M114" s="48"/>
    </row>
    <row r="115" spans="1:14" ht="19.5" customHeight="1" x14ac:dyDescent="0.25">
      <c r="A115" s="48"/>
      <c r="B115" s="49"/>
      <c r="C115" s="49"/>
      <c r="D115" s="49"/>
      <c r="E115" s="48"/>
      <c r="F115" s="48"/>
      <c r="G115" s="48"/>
      <c r="H115" s="48"/>
      <c r="I115" s="48"/>
      <c r="J115" s="48"/>
      <c r="K115" s="48"/>
      <c r="L115" s="48"/>
      <c r="M115" s="48"/>
    </row>
    <row r="116" spans="1:14" ht="16.5" customHeight="1" x14ac:dyDescent="0.25">
      <c r="A116" s="2115" t="s">
        <v>97</v>
      </c>
      <c r="B116" s="2115"/>
      <c r="C116" s="2115"/>
      <c r="D116" s="49"/>
      <c r="E116" s="49"/>
      <c r="F116" s="49"/>
      <c r="G116" s="49"/>
      <c r="H116" s="49"/>
      <c r="I116" s="49"/>
      <c r="J116" s="49"/>
      <c r="K116" s="49"/>
      <c r="L116" s="49"/>
      <c r="M116" s="48"/>
    </row>
    <row r="117" spans="1:14" x14ac:dyDescent="0.25">
      <c r="A117" s="48"/>
      <c r="B117" s="49"/>
      <c r="C117" s="49"/>
      <c r="D117" s="49"/>
      <c r="E117" s="48"/>
      <c r="F117" s="48"/>
      <c r="G117" s="48"/>
      <c r="H117" s="48"/>
      <c r="I117" s="48"/>
      <c r="J117" s="48"/>
      <c r="K117" s="48"/>
      <c r="L117" s="48"/>
      <c r="M117" s="48"/>
    </row>
    <row r="118" spans="1:14" ht="21" customHeight="1" x14ac:dyDescent="0.25">
      <c r="A118" s="48"/>
      <c r="B118" s="2093" t="s">
        <v>98</v>
      </c>
      <c r="C118" s="2094"/>
      <c r="D118" s="2094"/>
      <c r="E118" s="2094"/>
      <c r="F118" s="2094"/>
      <c r="G118" s="1076" t="s">
        <v>1297</v>
      </c>
      <c r="H118" s="2095" t="s">
        <v>1298</v>
      </c>
      <c r="I118" s="2136"/>
      <c r="J118" s="48"/>
      <c r="K118" s="48"/>
      <c r="L118" s="48"/>
      <c r="M118" s="48"/>
    </row>
    <row r="119" spans="1:14" ht="30" customHeight="1" x14ac:dyDescent="0.25">
      <c r="A119" s="48"/>
      <c r="B119" s="1644" t="str">
        <f>Submittals!H117</f>
        <v>Select the Submission Stage in Project Information</v>
      </c>
      <c r="C119" s="1645"/>
      <c r="D119" s="1645"/>
      <c r="E119" s="1645"/>
      <c r="F119" s="1645"/>
      <c r="G119" s="1077" t="s">
        <v>62</v>
      </c>
      <c r="H119" s="1684"/>
      <c r="I119" s="2239"/>
      <c r="J119" s="48"/>
      <c r="K119" s="48"/>
      <c r="L119" s="48"/>
      <c r="M119" s="48"/>
      <c r="N119" s="37" t="str">
        <f>IF(OR(B119="/",B119="No evidence required at this submission stage"),"Yes",IF(G119="Submitted","Yes","No"))</f>
        <v>No</v>
      </c>
    </row>
    <row r="120" spans="1:14" ht="27" customHeight="1" x14ac:dyDescent="0.25">
      <c r="A120" s="48"/>
      <c r="B120" s="1644" t="str">
        <f>Submittals!H118</f>
        <v>Select the Submission Stage in Project Information</v>
      </c>
      <c r="C120" s="1645"/>
      <c r="D120" s="1645"/>
      <c r="E120" s="1645"/>
      <c r="F120" s="1645"/>
      <c r="G120" s="1287" t="s">
        <v>62</v>
      </c>
      <c r="H120" s="1684"/>
      <c r="I120" s="2239"/>
      <c r="J120" s="48"/>
      <c r="K120" s="48"/>
      <c r="L120" s="48"/>
      <c r="M120" s="48"/>
      <c r="N120" s="37" t="str">
        <f>IF(OR(B120="/",B120="No evidence required at this submission stage"),"Yes",IF(G120="Submitted","Yes","No"))</f>
        <v>No</v>
      </c>
    </row>
    <row r="121" spans="1:14" ht="30" customHeight="1" x14ac:dyDescent="0.25">
      <c r="A121" s="48"/>
      <c r="B121" s="1644" t="str">
        <f>Submittals!H119</f>
        <v>Select the Submission Stage in Project Information</v>
      </c>
      <c r="C121" s="1645"/>
      <c r="D121" s="1645"/>
      <c r="E121" s="1645"/>
      <c r="F121" s="1645"/>
      <c r="G121" s="1287" t="s">
        <v>62</v>
      </c>
      <c r="H121" s="1684"/>
      <c r="I121" s="2239"/>
      <c r="J121" s="48"/>
      <c r="K121" s="48"/>
      <c r="L121" s="48"/>
      <c r="M121" s="48"/>
      <c r="N121" s="37" t="str">
        <f>IF(OR(B121="/",B121="No evidence required at this submission stage"),"Yes",IF(G121="Submitted","Yes","No"))</f>
        <v>No</v>
      </c>
    </row>
    <row r="122" spans="1:14" ht="39" customHeight="1" x14ac:dyDescent="0.25">
      <c r="A122" s="48"/>
      <c r="B122" s="1644" t="str">
        <f>Submittals!H120</f>
        <v>Select the Submission Stage in Project Information</v>
      </c>
      <c r="C122" s="1645"/>
      <c r="D122" s="1645"/>
      <c r="E122" s="1645"/>
      <c r="F122" s="1645"/>
      <c r="G122" s="1286" t="s">
        <v>62</v>
      </c>
      <c r="H122" s="1684"/>
      <c r="I122" s="2239"/>
      <c r="J122" s="48"/>
      <c r="K122" s="48"/>
      <c r="L122" s="48"/>
      <c r="M122" s="48"/>
      <c r="N122" s="37" t="str">
        <f>IF(OR(B122="/",B122="No evidence required at this submission stage"),"Yes",IF(OR(G122="Already approved at PC",G122="Submitted"),"Yes","No"))</f>
        <v>No</v>
      </c>
    </row>
    <row r="123" spans="1:14" ht="18.75" customHeight="1" x14ac:dyDescent="0.25">
      <c r="A123" s="48"/>
      <c r="B123" s="49"/>
      <c r="C123" s="49"/>
      <c r="D123" s="49"/>
      <c r="E123" s="48"/>
      <c r="F123" s="48"/>
      <c r="G123" s="48"/>
      <c r="H123" s="48"/>
      <c r="I123" s="48"/>
      <c r="J123" s="48"/>
      <c r="K123" s="48"/>
      <c r="L123" s="48"/>
      <c r="M123" s="48"/>
    </row>
    <row r="124" spans="1:14" ht="16.5" customHeight="1" x14ac:dyDescent="0.25">
      <c r="A124" s="2115" t="s">
        <v>8</v>
      </c>
      <c r="B124" s="2115"/>
      <c r="C124" s="2115"/>
      <c r="D124" s="49"/>
      <c r="E124" s="48"/>
      <c r="F124" s="48"/>
      <c r="G124" s="48"/>
      <c r="H124" s="48"/>
      <c r="I124" s="48"/>
      <c r="J124" s="48"/>
      <c r="K124" s="48"/>
      <c r="L124" s="48"/>
      <c r="M124" s="48"/>
    </row>
    <row r="125" spans="1:14" ht="16.5" customHeight="1" x14ac:dyDescent="0.25">
      <c r="A125" s="48"/>
      <c r="B125" s="49"/>
      <c r="C125" s="49"/>
      <c r="D125" s="49"/>
      <c r="E125" s="48"/>
      <c r="F125" s="48"/>
      <c r="G125" s="48"/>
      <c r="H125" s="48"/>
      <c r="I125" s="48"/>
      <c r="J125" s="48"/>
      <c r="K125" s="48"/>
      <c r="L125" s="48"/>
      <c r="M125" s="48"/>
    </row>
    <row r="126" spans="1:14" ht="16.5" customHeight="1" x14ac:dyDescent="0.25">
      <c r="A126" s="48"/>
      <c r="B126" s="145" t="s">
        <v>606</v>
      </c>
      <c r="C126" s="8" t="str">
        <f>IF(D114="Yes","Yes","No")</f>
        <v>No</v>
      </c>
      <c r="D126" s="49"/>
      <c r="E126" s="48"/>
      <c r="F126" s="48"/>
      <c r="G126" s="48"/>
      <c r="H126" s="48"/>
      <c r="I126" s="48"/>
      <c r="J126" s="48"/>
      <c r="K126" s="48"/>
      <c r="L126" s="48"/>
      <c r="M126" s="48"/>
    </row>
    <row r="127" spans="1:14" ht="16.5" customHeight="1" x14ac:dyDescent="0.25">
      <c r="A127" s="48"/>
      <c r="B127" s="146" t="s">
        <v>151</v>
      </c>
      <c r="C127" s="7" t="str">
        <f>IF(AND(COUNTIF(N119:N122,"Yes")=4,C126="Yes"),"Yes","No")</f>
        <v>No</v>
      </c>
      <c r="D127" s="49"/>
      <c r="E127" s="48"/>
      <c r="F127" s="48"/>
      <c r="G127" s="48"/>
      <c r="H127" s="48"/>
      <c r="I127" s="48"/>
      <c r="J127" s="48"/>
      <c r="K127" s="48"/>
      <c r="L127" s="48"/>
      <c r="M127" s="48"/>
    </row>
    <row r="128" spans="1:14" ht="18.75" customHeight="1" x14ac:dyDescent="0.25">
      <c r="A128" s="48"/>
      <c r="B128" s="49"/>
      <c r="C128" s="49"/>
      <c r="D128" s="49"/>
      <c r="E128" s="48"/>
      <c r="F128" s="48"/>
      <c r="G128" s="48"/>
      <c r="H128" s="48"/>
      <c r="I128" s="48"/>
      <c r="J128" s="48"/>
      <c r="K128" s="48"/>
      <c r="L128" s="48"/>
      <c r="M128" s="48"/>
    </row>
    <row r="129" spans="1:17" ht="18.75" customHeight="1" x14ac:dyDescent="0.25">
      <c r="A129" s="2092" t="s">
        <v>1223</v>
      </c>
      <c r="B129" s="2092"/>
      <c r="C129" s="2092"/>
      <c r="D129" s="2092"/>
      <c r="E129" s="2092"/>
      <c r="F129" s="2092"/>
      <c r="G129" s="2092"/>
      <c r="H129" s="2092"/>
      <c r="I129" s="2092"/>
      <c r="J129" s="2092"/>
      <c r="K129" s="2092"/>
      <c r="L129" s="2092"/>
      <c r="M129" s="2092"/>
    </row>
    <row r="130" spans="1:17" ht="12" customHeight="1" x14ac:dyDescent="0.25">
      <c r="A130" s="48"/>
      <c r="B130" s="49"/>
      <c r="C130" s="49"/>
      <c r="D130" s="49"/>
      <c r="E130" s="48"/>
      <c r="F130" s="48"/>
      <c r="G130" s="48"/>
      <c r="H130" s="48"/>
      <c r="I130" s="48"/>
      <c r="J130" s="48"/>
      <c r="K130" s="48"/>
      <c r="L130" s="48"/>
      <c r="M130" s="48"/>
    </row>
    <row r="131" spans="1:17" ht="18.75" customHeight="1" x14ac:dyDescent="0.25">
      <c r="A131" s="48"/>
      <c r="B131" s="2235" t="s">
        <v>1224</v>
      </c>
      <c r="C131" s="2235"/>
      <c r="D131" s="2235"/>
      <c r="E131" s="2235"/>
      <c r="F131" s="2235"/>
      <c r="G131" s="2235"/>
      <c r="H131" s="48"/>
      <c r="I131" s="48"/>
      <c r="J131" s="48"/>
      <c r="K131" s="48"/>
      <c r="L131" s="48"/>
      <c r="M131" s="48"/>
    </row>
    <row r="132" spans="1:17" ht="14.25" customHeight="1" x14ac:dyDescent="0.25">
      <c r="A132" s="48"/>
      <c r="B132" s="394"/>
      <c r="C132" s="49"/>
      <c r="D132" s="49"/>
      <c r="E132" s="48"/>
      <c r="F132" s="48"/>
      <c r="G132" s="48"/>
      <c r="H132" s="48"/>
      <c r="I132" s="48"/>
      <c r="J132" s="48"/>
      <c r="K132" s="48"/>
      <c r="L132" s="48"/>
      <c r="M132" s="48"/>
    </row>
    <row r="133" spans="1:17" ht="16.5" customHeight="1" x14ac:dyDescent="0.25">
      <c r="A133" s="2115" t="s">
        <v>117</v>
      </c>
      <c r="B133" s="2115"/>
      <c r="C133" s="2115"/>
      <c r="D133" s="48"/>
      <c r="E133" s="49"/>
      <c r="F133" s="48"/>
      <c r="G133" s="48"/>
      <c r="H133" s="48"/>
      <c r="I133" s="48"/>
      <c r="J133" s="48"/>
      <c r="K133" s="48"/>
      <c r="L133" s="48"/>
      <c r="M133" s="48"/>
    </row>
    <row r="134" spans="1:17" ht="12" customHeight="1" x14ac:dyDescent="0.25">
      <c r="A134" s="48"/>
      <c r="B134" s="48"/>
      <c r="C134" s="48"/>
      <c r="D134" s="48"/>
      <c r="E134" s="49"/>
      <c r="F134" s="48"/>
      <c r="G134" s="48"/>
      <c r="H134" s="48"/>
      <c r="I134" s="48"/>
      <c r="J134" s="48"/>
      <c r="K134" s="48"/>
      <c r="L134" s="48"/>
      <c r="M134" s="48"/>
    </row>
    <row r="135" spans="1:17" ht="16.5" customHeight="1" x14ac:dyDescent="0.25">
      <c r="A135" s="48"/>
      <c r="B135" s="2234" t="s">
        <v>2187</v>
      </c>
      <c r="C135" s="2234"/>
      <c r="D135" s="2234"/>
      <c r="E135" s="2234"/>
      <c r="F135" s="2234"/>
      <c r="G135" s="2234"/>
      <c r="H135" s="2234"/>
      <c r="I135" s="2234"/>
      <c r="J135" s="2234"/>
      <c r="K135" s="48"/>
      <c r="L135" s="48"/>
      <c r="M135" s="48"/>
    </row>
    <row r="136" spans="1:17" ht="12" customHeight="1" x14ac:dyDescent="0.25">
      <c r="A136" s="48"/>
      <c r="B136" s="2234"/>
      <c r="C136" s="2234"/>
      <c r="D136" s="2234"/>
      <c r="E136" s="2234"/>
      <c r="F136" s="2234"/>
      <c r="G136" s="2234"/>
      <c r="H136" s="2234"/>
      <c r="I136" s="2234"/>
      <c r="J136" s="2234"/>
      <c r="K136" s="48"/>
      <c r="L136" s="48"/>
      <c r="M136" s="48"/>
    </row>
    <row r="137" spans="1:17" ht="12" customHeight="1" x14ac:dyDescent="0.25">
      <c r="A137" s="48"/>
      <c r="B137" s="49"/>
      <c r="C137" s="49"/>
      <c r="D137" s="49"/>
      <c r="E137" s="48"/>
      <c r="F137" s="48"/>
      <c r="G137" s="48"/>
      <c r="H137" s="48"/>
      <c r="I137" s="48"/>
      <c r="J137" s="48"/>
      <c r="K137" s="48"/>
      <c r="L137" s="48"/>
      <c r="M137" s="48"/>
    </row>
    <row r="138" spans="1:17" x14ac:dyDescent="0.25">
      <c r="A138" s="48"/>
      <c r="B138" s="671" t="s">
        <v>1222</v>
      </c>
      <c r="C138" s="49"/>
      <c r="D138" s="49"/>
      <c r="E138" s="48"/>
      <c r="F138" s="48"/>
      <c r="G138" s="48"/>
      <c r="H138" s="48"/>
      <c r="I138" s="48"/>
      <c r="J138" s="48"/>
      <c r="K138" s="48"/>
      <c r="L138" s="48"/>
      <c r="M138" s="48"/>
    </row>
    <row r="139" spans="1:17" ht="11.25" customHeight="1" x14ac:dyDescent="0.25">
      <c r="A139" s="48"/>
      <c r="B139" s="49"/>
      <c r="C139" s="49"/>
      <c r="D139" s="49"/>
      <c r="E139" s="48"/>
      <c r="F139" s="48"/>
      <c r="G139" s="48"/>
      <c r="H139" s="48"/>
      <c r="I139" s="48"/>
      <c r="J139" s="48"/>
      <c r="K139" s="48"/>
      <c r="L139" s="48"/>
      <c r="M139" s="48"/>
    </row>
    <row r="140" spans="1:17" ht="28.5" customHeight="1" x14ac:dyDescent="0.25">
      <c r="A140" s="48"/>
      <c r="B140" s="1081" t="s">
        <v>830</v>
      </c>
      <c r="C140" s="377" t="s">
        <v>831</v>
      </c>
      <c r="D140" s="494" t="s">
        <v>1970</v>
      </c>
      <c r="E140" s="494" t="s">
        <v>832</v>
      </c>
      <c r="F140" s="2110" t="s">
        <v>15</v>
      </c>
      <c r="G140" s="2110"/>
      <c r="H140" s="48"/>
      <c r="I140" s="48"/>
      <c r="J140" s="48"/>
      <c r="K140" s="48"/>
      <c r="L140" s="48"/>
      <c r="M140" s="48"/>
      <c r="N140" s="48"/>
    </row>
    <row r="141" spans="1:17" ht="16.5" customHeight="1" x14ac:dyDescent="0.25">
      <c r="A141" s="48"/>
      <c r="B141" s="375"/>
      <c r="C141" s="538"/>
      <c r="D141" s="538"/>
      <c r="E141" s="497" t="s">
        <v>62</v>
      </c>
      <c r="F141" s="1625"/>
      <c r="G141" s="1626"/>
      <c r="H141" s="48"/>
      <c r="I141" s="48"/>
      <c r="J141" s="48"/>
      <c r="K141" s="48"/>
      <c r="L141" s="48"/>
      <c r="M141" s="48"/>
      <c r="N141" s="48"/>
      <c r="O141" s="37" t="str">
        <f>IF(D141&gt;=80,"Yes","No")</f>
        <v>No</v>
      </c>
      <c r="P141" s="37">
        <f>IF(O141="Yes",C141,0)</f>
        <v>0</v>
      </c>
      <c r="Q141" s="37">
        <f>IF(AND(E141&lt;&gt;"Select",E141&lt;&gt;"no"),0,C141)</f>
        <v>0</v>
      </c>
    </row>
    <row r="142" spans="1:17" ht="16.5" customHeight="1" x14ac:dyDescent="0.25">
      <c r="A142" s="48"/>
      <c r="B142" s="493"/>
      <c r="C142" s="538"/>
      <c r="D142" s="538"/>
      <c r="E142" s="497" t="s">
        <v>62</v>
      </c>
      <c r="F142" s="1625"/>
      <c r="G142" s="1626"/>
      <c r="H142" s="48"/>
      <c r="I142" s="48"/>
      <c r="J142" s="48"/>
      <c r="K142" s="48"/>
      <c r="L142" s="48"/>
      <c r="M142" s="48"/>
      <c r="N142" s="48"/>
      <c r="O142" s="37" t="str">
        <f t="shared" ref="O142:O155" si="9">IF(D142&gt;=80,"Yes","No")</f>
        <v>No</v>
      </c>
      <c r="P142" s="37">
        <f t="shared" ref="P142:P155" si="10">IF(O142="Yes",C142,0)</f>
        <v>0</v>
      </c>
      <c r="Q142" s="37">
        <f t="shared" ref="Q142:Q155" si="11">IF(AND(E142&lt;&gt;"Select",E142&lt;&gt;"no"),0,C142)</f>
        <v>0</v>
      </c>
    </row>
    <row r="143" spans="1:17" ht="16.5" customHeight="1" x14ac:dyDescent="0.25">
      <c r="A143" s="48"/>
      <c r="B143" s="493"/>
      <c r="C143" s="538"/>
      <c r="D143" s="538"/>
      <c r="E143" s="497" t="s">
        <v>62</v>
      </c>
      <c r="F143" s="495"/>
      <c r="G143" s="496"/>
      <c r="H143" s="48"/>
      <c r="I143" s="48"/>
      <c r="J143" s="48"/>
      <c r="K143" s="48"/>
      <c r="L143" s="48"/>
      <c r="M143" s="48"/>
      <c r="N143" s="48"/>
      <c r="O143" s="37" t="str">
        <f t="shared" si="9"/>
        <v>No</v>
      </c>
      <c r="P143" s="37">
        <f t="shared" si="10"/>
        <v>0</v>
      </c>
      <c r="Q143" s="37">
        <f>IF(AND(E143&lt;&gt;"Select",E143&lt;&gt;"no",D143&lt;80),0,C143)</f>
        <v>0</v>
      </c>
    </row>
    <row r="144" spans="1:17" ht="16.5" customHeight="1" x14ac:dyDescent="0.25">
      <c r="A144" s="48"/>
      <c r="B144" s="493"/>
      <c r="C144" s="538"/>
      <c r="D144" s="538"/>
      <c r="E144" s="497" t="s">
        <v>62</v>
      </c>
      <c r="F144" s="1625"/>
      <c r="G144" s="1626"/>
      <c r="H144" s="48"/>
      <c r="I144" s="48"/>
      <c r="J144" s="48"/>
      <c r="K144" s="48"/>
      <c r="L144" s="48"/>
      <c r="M144" s="48"/>
      <c r="N144" s="48"/>
      <c r="O144" s="37" t="str">
        <f t="shared" si="9"/>
        <v>No</v>
      </c>
      <c r="P144" s="37">
        <f t="shared" si="10"/>
        <v>0</v>
      </c>
      <c r="Q144" s="37">
        <f t="shared" si="11"/>
        <v>0</v>
      </c>
    </row>
    <row r="145" spans="1:17" ht="16.5" customHeight="1" x14ac:dyDescent="0.25">
      <c r="A145" s="48"/>
      <c r="B145" s="493"/>
      <c r="C145" s="538"/>
      <c r="D145" s="538"/>
      <c r="E145" s="497" t="s">
        <v>62</v>
      </c>
      <c r="F145" s="1625"/>
      <c r="G145" s="1626"/>
      <c r="H145" s="48"/>
      <c r="I145" s="48"/>
      <c r="J145" s="48"/>
      <c r="K145" s="48"/>
      <c r="L145" s="48"/>
      <c r="M145" s="48"/>
      <c r="N145" s="48"/>
      <c r="O145" s="37" t="str">
        <f t="shared" si="9"/>
        <v>No</v>
      </c>
      <c r="P145" s="37">
        <f t="shared" si="10"/>
        <v>0</v>
      </c>
      <c r="Q145" s="37">
        <f t="shared" si="11"/>
        <v>0</v>
      </c>
    </row>
    <row r="146" spans="1:17" ht="16.5" customHeight="1" x14ac:dyDescent="0.25">
      <c r="A146" s="48"/>
      <c r="B146" s="493"/>
      <c r="C146" s="538"/>
      <c r="D146" s="538"/>
      <c r="E146" s="497" t="s">
        <v>62</v>
      </c>
      <c r="F146" s="495"/>
      <c r="G146" s="496"/>
      <c r="H146" s="48"/>
      <c r="I146" s="48"/>
      <c r="J146" s="48"/>
      <c r="K146" s="48"/>
      <c r="L146" s="48"/>
      <c r="M146" s="48"/>
      <c r="N146" s="48"/>
      <c r="O146" s="37" t="str">
        <f t="shared" si="9"/>
        <v>No</v>
      </c>
      <c r="P146" s="37">
        <f t="shared" si="10"/>
        <v>0</v>
      </c>
      <c r="Q146" s="37">
        <f t="shared" si="11"/>
        <v>0</v>
      </c>
    </row>
    <row r="147" spans="1:17" ht="16.5" customHeight="1" x14ac:dyDescent="0.25">
      <c r="A147" s="48"/>
      <c r="B147" s="493"/>
      <c r="C147" s="538"/>
      <c r="D147" s="538"/>
      <c r="E147" s="497" t="s">
        <v>62</v>
      </c>
      <c r="F147" s="1625"/>
      <c r="G147" s="1626"/>
      <c r="H147" s="48"/>
      <c r="I147" s="48"/>
      <c r="J147" s="48"/>
      <c r="K147" s="48"/>
      <c r="L147" s="48"/>
      <c r="M147" s="48"/>
      <c r="N147" s="48"/>
      <c r="O147" s="37" t="str">
        <f t="shared" si="9"/>
        <v>No</v>
      </c>
      <c r="P147" s="37">
        <f t="shared" si="10"/>
        <v>0</v>
      </c>
      <c r="Q147" s="37">
        <f t="shared" si="11"/>
        <v>0</v>
      </c>
    </row>
    <row r="148" spans="1:17" ht="16.5" customHeight="1" x14ac:dyDescent="0.25">
      <c r="A148" s="48"/>
      <c r="B148" s="493"/>
      <c r="C148" s="538"/>
      <c r="D148" s="538"/>
      <c r="E148" s="497" t="s">
        <v>62</v>
      </c>
      <c r="F148" s="1625"/>
      <c r="G148" s="1626"/>
      <c r="H148" s="48"/>
      <c r="I148" s="48"/>
      <c r="J148" s="48"/>
      <c r="K148" s="48"/>
      <c r="L148" s="48"/>
      <c r="M148" s="48"/>
      <c r="N148" s="48"/>
      <c r="O148" s="37" t="str">
        <f t="shared" si="9"/>
        <v>No</v>
      </c>
      <c r="P148" s="37">
        <f t="shared" si="10"/>
        <v>0</v>
      </c>
      <c r="Q148" s="37">
        <f t="shared" si="11"/>
        <v>0</v>
      </c>
    </row>
    <row r="149" spans="1:17" ht="16.5" customHeight="1" x14ac:dyDescent="0.25">
      <c r="A149" s="48"/>
      <c r="B149" s="493"/>
      <c r="C149" s="538"/>
      <c r="D149" s="538"/>
      <c r="E149" s="497" t="s">
        <v>62</v>
      </c>
      <c r="F149" s="495"/>
      <c r="G149" s="496"/>
      <c r="H149" s="48"/>
      <c r="I149" s="48"/>
      <c r="J149" s="48"/>
      <c r="K149" s="48"/>
      <c r="L149" s="48"/>
      <c r="M149" s="48"/>
      <c r="N149" s="48"/>
      <c r="O149" s="37" t="str">
        <f t="shared" si="9"/>
        <v>No</v>
      </c>
      <c r="P149" s="37">
        <f t="shared" si="10"/>
        <v>0</v>
      </c>
      <c r="Q149" s="37">
        <f t="shared" si="11"/>
        <v>0</v>
      </c>
    </row>
    <row r="150" spans="1:17" ht="16.5" customHeight="1" x14ac:dyDescent="0.25">
      <c r="A150" s="48"/>
      <c r="B150" s="493"/>
      <c r="C150" s="538"/>
      <c r="D150" s="538"/>
      <c r="E150" s="497" t="s">
        <v>62</v>
      </c>
      <c r="F150" s="1625"/>
      <c r="G150" s="1626"/>
      <c r="H150" s="48"/>
      <c r="I150" s="48"/>
      <c r="J150" s="48"/>
      <c r="K150" s="48"/>
      <c r="L150" s="48"/>
      <c r="M150" s="48"/>
      <c r="N150" s="48"/>
      <c r="O150" s="37" t="str">
        <f t="shared" si="9"/>
        <v>No</v>
      </c>
      <c r="P150" s="37">
        <f t="shared" si="10"/>
        <v>0</v>
      </c>
      <c r="Q150" s="37">
        <f t="shared" si="11"/>
        <v>0</v>
      </c>
    </row>
    <row r="151" spans="1:17" ht="16.5" customHeight="1" x14ac:dyDescent="0.25">
      <c r="A151" s="48"/>
      <c r="B151" s="375"/>
      <c r="C151" s="538"/>
      <c r="D151" s="538"/>
      <c r="E151" s="497" t="s">
        <v>62</v>
      </c>
      <c r="F151" s="1625"/>
      <c r="G151" s="1626"/>
      <c r="H151" s="48"/>
      <c r="I151" s="48"/>
      <c r="J151" s="48"/>
      <c r="K151" s="48"/>
      <c r="L151" s="48"/>
      <c r="M151" s="48"/>
      <c r="N151" s="48"/>
      <c r="O151" s="37" t="str">
        <f t="shared" si="9"/>
        <v>No</v>
      </c>
      <c r="P151" s="37">
        <f t="shared" si="10"/>
        <v>0</v>
      </c>
      <c r="Q151" s="37">
        <f t="shared" si="11"/>
        <v>0</v>
      </c>
    </row>
    <row r="152" spans="1:17" ht="16.5" customHeight="1" x14ac:dyDescent="0.25">
      <c r="A152" s="48"/>
      <c r="B152" s="375"/>
      <c r="C152" s="538"/>
      <c r="D152" s="538"/>
      <c r="E152" s="497" t="s">
        <v>62</v>
      </c>
      <c r="F152" s="495"/>
      <c r="G152" s="496"/>
      <c r="H152" s="48"/>
      <c r="I152" s="48"/>
      <c r="J152" s="48"/>
      <c r="K152" s="48"/>
      <c r="L152" s="48"/>
      <c r="M152" s="48"/>
      <c r="N152" s="48"/>
      <c r="O152" s="37" t="str">
        <f t="shared" si="9"/>
        <v>No</v>
      </c>
      <c r="P152" s="37">
        <f t="shared" si="10"/>
        <v>0</v>
      </c>
      <c r="Q152" s="37">
        <f t="shared" si="11"/>
        <v>0</v>
      </c>
    </row>
    <row r="153" spans="1:17" ht="16.5" customHeight="1" x14ac:dyDescent="0.25">
      <c r="A153" s="48"/>
      <c r="B153" s="493"/>
      <c r="C153" s="538"/>
      <c r="D153" s="538"/>
      <c r="E153" s="497" t="s">
        <v>62</v>
      </c>
      <c r="F153" s="1625"/>
      <c r="G153" s="1626"/>
      <c r="H153" s="48"/>
      <c r="I153" s="48"/>
      <c r="J153" s="48"/>
      <c r="K153" s="48"/>
      <c r="L153" s="48"/>
      <c r="M153" s="48"/>
      <c r="N153" s="48"/>
      <c r="O153" s="37" t="str">
        <f t="shared" si="9"/>
        <v>No</v>
      </c>
      <c r="P153" s="37">
        <f t="shared" si="10"/>
        <v>0</v>
      </c>
      <c r="Q153" s="37">
        <f t="shared" si="11"/>
        <v>0</v>
      </c>
    </row>
    <row r="154" spans="1:17" ht="16.5" customHeight="1" x14ac:dyDescent="0.25">
      <c r="A154" s="48"/>
      <c r="B154" s="375"/>
      <c r="C154" s="538"/>
      <c r="D154" s="538"/>
      <c r="E154" s="497" t="s">
        <v>62</v>
      </c>
      <c r="F154" s="1625"/>
      <c r="G154" s="1626"/>
      <c r="H154" s="48"/>
      <c r="I154" s="48"/>
      <c r="J154" s="48"/>
      <c r="K154" s="48"/>
      <c r="L154" s="48"/>
      <c r="M154" s="48"/>
      <c r="N154" s="48"/>
      <c r="O154" s="37" t="str">
        <f t="shared" si="9"/>
        <v>No</v>
      </c>
      <c r="P154" s="37">
        <f t="shared" si="10"/>
        <v>0</v>
      </c>
      <c r="Q154" s="37">
        <f t="shared" si="11"/>
        <v>0</v>
      </c>
    </row>
    <row r="155" spans="1:17" ht="16.5" customHeight="1" x14ac:dyDescent="0.25">
      <c r="A155" s="48"/>
      <c r="B155" s="375"/>
      <c r="C155" s="538"/>
      <c r="D155" s="538"/>
      <c r="E155" s="497" t="s">
        <v>62</v>
      </c>
      <c r="F155" s="495"/>
      <c r="G155" s="496"/>
      <c r="H155" s="48"/>
      <c r="I155" s="48"/>
      <c r="J155" s="48"/>
      <c r="K155" s="48"/>
      <c r="L155" s="48"/>
      <c r="M155" s="48"/>
      <c r="N155" s="48"/>
      <c r="O155" s="37" t="str">
        <f t="shared" si="9"/>
        <v>No</v>
      </c>
      <c r="P155" s="37">
        <f t="shared" si="10"/>
        <v>0</v>
      </c>
      <c r="Q155" s="37">
        <f t="shared" si="11"/>
        <v>0</v>
      </c>
    </row>
    <row r="156" spans="1:17" ht="16.5" customHeight="1" x14ac:dyDescent="0.25">
      <c r="A156" s="48"/>
      <c r="B156" s="49"/>
      <c r="C156" s="49"/>
      <c r="D156" s="49"/>
      <c r="E156" s="48"/>
      <c r="F156" s="48"/>
      <c r="G156" s="48"/>
      <c r="H156" s="48"/>
      <c r="I156" s="48"/>
      <c r="J156" s="48"/>
      <c r="K156" s="48"/>
      <c r="L156" s="48"/>
      <c r="M156" s="48"/>
    </row>
    <row r="157" spans="1:17" ht="18" customHeight="1" x14ac:dyDescent="0.25">
      <c r="A157" s="48"/>
      <c r="B157" s="2236" t="s">
        <v>833</v>
      </c>
      <c r="C157" s="2237"/>
      <c r="D157" s="2238"/>
      <c r="E157" s="70">
        <f>IFERROR(SUM(P141:P155)/SUM(Q141:Q155),0)</f>
        <v>0</v>
      </c>
      <c r="F157" s="48"/>
      <c r="G157" s="48"/>
      <c r="H157" s="48"/>
      <c r="I157" s="48"/>
      <c r="J157" s="48"/>
      <c r="K157" s="48"/>
      <c r="L157" s="48"/>
      <c r="M157" s="48"/>
    </row>
    <row r="158" spans="1:17" ht="19.5" customHeight="1" x14ac:dyDescent="0.25">
      <c r="A158" s="48"/>
      <c r="B158" s="49"/>
      <c r="C158" s="49"/>
      <c r="D158" s="49"/>
      <c r="E158" s="48"/>
      <c r="F158" s="48"/>
      <c r="G158" s="48"/>
      <c r="H158" s="48"/>
      <c r="I158" s="48"/>
      <c r="J158" s="48"/>
      <c r="K158" s="48"/>
      <c r="L158" s="48"/>
      <c r="M158" s="48"/>
    </row>
    <row r="159" spans="1:17" ht="16.5" customHeight="1" x14ac:dyDescent="0.25">
      <c r="A159" s="2115" t="s">
        <v>97</v>
      </c>
      <c r="B159" s="2115"/>
      <c r="C159" s="2115"/>
      <c r="D159" s="49"/>
      <c r="E159" s="49"/>
      <c r="F159" s="49"/>
      <c r="G159" s="49"/>
      <c r="H159" s="49"/>
      <c r="I159" s="49"/>
      <c r="J159" s="49"/>
      <c r="K159" s="49"/>
      <c r="L159" s="49"/>
      <c r="M159" s="48"/>
    </row>
    <row r="160" spans="1:17" x14ac:dyDescent="0.25">
      <c r="A160" s="48"/>
      <c r="B160" s="49"/>
      <c r="C160" s="49"/>
      <c r="D160" s="49"/>
      <c r="E160" s="48"/>
      <c r="F160" s="48"/>
      <c r="G160" s="48"/>
      <c r="H160" s="48"/>
      <c r="I160" s="48"/>
      <c r="J160" s="48"/>
      <c r="K160" s="48"/>
      <c r="L160" s="48"/>
      <c r="M160" s="48"/>
    </row>
    <row r="161" spans="1:14" ht="21" customHeight="1" x14ac:dyDescent="0.25">
      <c r="A161" s="48"/>
      <c r="B161" s="2093" t="s">
        <v>98</v>
      </c>
      <c r="C161" s="2094"/>
      <c r="D161" s="2094"/>
      <c r="E161" s="2094"/>
      <c r="F161" s="2094"/>
      <c r="G161" s="256" t="s">
        <v>1297</v>
      </c>
      <c r="H161" s="2095" t="s">
        <v>1298</v>
      </c>
      <c r="I161" s="2095"/>
      <c r="J161" s="48"/>
      <c r="K161" s="48"/>
      <c r="L161" s="48"/>
      <c r="M161" s="48"/>
    </row>
    <row r="162" spans="1:14" ht="30" customHeight="1" x14ac:dyDescent="0.25">
      <c r="A162" s="48"/>
      <c r="B162" s="1644" t="str">
        <f>Submittals!H121</f>
        <v>Select the Submission Stage in Project Information</v>
      </c>
      <c r="C162" s="1645"/>
      <c r="D162" s="1645"/>
      <c r="E162" s="1645"/>
      <c r="F162" s="1645"/>
      <c r="G162" s="827" t="s">
        <v>62</v>
      </c>
      <c r="H162" s="1625"/>
      <c r="I162" s="1626"/>
      <c r="J162" s="48"/>
      <c r="K162" s="48"/>
      <c r="L162" s="48"/>
      <c r="M162" s="48"/>
      <c r="N162" s="37" t="str">
        <f>IF(OR(B162="/",B162="No evidence required at this submission stage"),"Yes",IF(G162="Submitted","Yes","No"))</f>
        <v>No</v>
      </c>
    </row>
    <row r="163" spans="1:14" ht="25.5" customHeight="1" x14ac:dyDescent="0.25">
      <c r="A163" s="48"/>
      <c r="B163" s="1644" t="str">
        <f>Submittals!H122</f>
        <v>Select the Submission Stage in Project Information</v>
      </c>
      <c r="C163" s="1645"/>
      <c r="D163" s="1645"/>
      <c r="E163" s="1645"/>
      <c r="F163" s="1645"/>
      <c r="G163" s="827" t="s">
        <v>62</v>
      </c>
      <c r="H163" s="1625"/>
      <c r="I163" s="1626"/>
      <c r="J163" s="48"/>
      <c r="K163" s="48"/>
      <c r="L163" s="48"/>
      <c r="M163" s="48"/>
      <c r="N163" s="37" t="str">
        <f>IF(OR(B163="/",B163="No evidence required at this submission stage"),"Yes",IF(G163="Submitted","Yes","No"))</f>
        <v>No</v>
      </c>
    </row>
    <row r="164" spans="1:14" ht="18" customHeight="1" x14ac:dyDescent="0.25">
      <c r="A164" s="48"/>
      <c r="B164" s="49"/>
      <c r="C164" s="49"/>
      <c r="D164" s="49"/>
      <c r="E164" s="48"/>
      <c r="F164" s="48"/>
      <c r="G164" s="48"/>
      <c r="H164" s="48"/>
      <c r="I164" s="48"/>
      <c r="J164" s="48"/>
      <c r="K164" s="48"/>
      <c r="L164" s="48"/>
      <c r="M164" s="48"/>
    </row>
    <row r="165" spans="1:14" ht="16.5" customHeight="1" x14ac:dyDescent="0.25">
      <c r="A165" s="2115" t="s">
        <v>8</v>
      </c>
      <c r="B165" s="2115"/>
      <c r="C165" s="2115"/>
      <c r="D165" s="49"/>
      <c r="E165" s="48"/>
      <c r="F165" s="48"/>
      <c r="G165" s="48"/>
      <c r="H165" s="48"/>
      <c r="I165" s="48"/>
      <c r="J165" s="48"/>
      <c r="K165" s="48"/>
      <c r="L165" s="48"/>
      <c r="M165" s="48"/>
    </row>
    <row r="166" spans="1:14" ht="16.5" customHeight="1" x14ac:dyDescent="0.25">
      <c r="A166" s="48"/>
      <c r="B166" s="49"/>
      <c r="C166" s="49"/>
      <c r="D166" s="49"/>
      <c r="E166" s="48"/>
      <c r="F166" s="48"/>
      <c r="G166" s="48"/>
      <c r="H166" s="48"/>
      <c r="I166" s="48"/>
      <c r="J166" s="48"/>
      <c r="K166" s="48"/>
      <c r="L166" s="48"/>
      <c r="M166" s="48"/>
    </row>
    <row r="167" spans="1:14" ht="18" customHeight="1" x14ac:dyDescent="0.25">
      <c r="A167" s="48"/>
      <c r="B167" s="145" t="s">
        <v>606</v>
      </c>
      <c r="C167" s="8" t="str">
        <f>IF(E157&gt;=0.95,"Yes","No")</f>
        <v>No</v>
      </c>
      <c r="D167" s="49"/>
      <c r="E167" s="48"/>
      <c r="F167" s="48"/>
      <c r="G167" s="48"/>
      <c r="H167" s="48"/>
      <c r="I167" s="48"/>
      <c r="J167" s="48"/>
      <c r="K167" s="48"/>
      <c r="L167" s="48"/>
      <c r="M167" s="48"/>
    </row>
    <row r="168" spans="1:14" ht="18" customHeight="1" x14ac:dyDescent="0.25">
      <c r="A168" s="48"/>
      <c r="B168" s="146" t="s">
        <v>151</v>
      </c>
      <c r="C168" s="7" t="str">
        <f>IF(AND(COUNTIF(N162:N163,"Yes")=2,C167="Yes"),"Yes","No")</f>
        <v>No</v>
      </c>
      <c r="D168" s="49"/>
      <c r="E168" s="48"/>
      <c r="F168" s="48"/>
      <c r="G168" s="48"/>
      <c r="H168" s="48"/>
      <c r="I168" s="48"/>
      <c r="J168" s="48"/>
      <c r="K168" s="48"/>
      <c r="L168" s="48"/>
      <c r="M168" s="48"/>
    </row>
    <row r="169" spans="1:14" ht="19.5" customHeight="1" x14ac:dyDescent="0.25">
      <c r="A169" s="48"/>
      <c r="B169" s="49"/>
      <c r="C169" s="49"/>
      <c r="D169" s="49"/>
      <c r="E169" s="48"/>
      <c r="F169" s="48"/>
      <c r="G169" s="48"/>
      <c r="H169" s="48"/>
      <c r="I169" s="48"/>
      <c r="J169" s="48"/>
      <c r="K169" s="48"/>
      <c r="L169" s="48"/>
      <c r="M169" s="48"/>
    </row>
    <row r="170" spans="1:14" ht="18" customHeight="1" x14ac:dyDescent="0.25">
      <c r="A170" s="2092" t="s">
        <v>829</v>
      </c>
      <c r="B170" s="2092"/>
      <c r="C170" s="2092"/>
      <c r="D170" s="2092"/>
      <c r="E170" s="2092"/>
      <c r="F170" s="2092"/>
      <c r="G170" s="2092"/>
      <c r="H170" s="2092"/>
      <c r="I170" s="2092"/>
      <c r="J170" s="2092"/>
      <c r="K170" s="2092"/>
      <c r="L170" s="2092"/>
      <c r="M170" s="2092"/>
    </row>
    <row r="171" spans="1:14" ht="12" customHeight="1" x14ac:dyDescent="0.25">
      <c r="A171" s="48"/>
      <c r="B171" s="49"/>
      <c r="C171" s="49"/>
      <c r="D171" s="49"/>
      <c r="E171" s="48"/>
      <c r="F171" s="48"/>
      <c r="G171" s="48"/>
      <c r="H171" s="48"/>
      <c r="I171" s="48"/>
      <c r="J171" s="48"/>
      <c r="K171" s="48"/>
      <c r="L171" s="48"/>
      <c r="M171" s="48"/>
    </row>
    <row r="172" spans="1:14" ht="16.5" customHeight="1" x14ac:dyDescent="0.25">
      <c r="A172" s="48"/>
      <c r="B172" s="2241" t="s">
        <v>2026</v>
      </c>
      <c r="C172" s="2241"/>
      <c r="D172" s="2241"/>
      <c r="E172" s="2241"/>
      <c r="F172" s="2241"/>
      <c r="G172" s="2241"/>
      <c r="H172" s="2241"/>
      <c r="I172" s="2241"/>
      <c r="J172" s="48"/>
      <c r="K172" s="48"/>
      <c r="L172" s="48"/>
      <c r="M172" s="48"/>
    </row>
    <row r="173" spans="1:14" ht="16.5" customHeight="1" x14ac:dyDescent="0.25">
      <c r="A173" s="48"/>
      <c r="B173" s="49"/>
      <c r="C173" s="49"/>
      <c r="D173" s="49"/>
      <c r="E173" s="48"/>
      <c r="F173" s="48"/>
      <c r="G173" s="48"/>
      <c r="H173" s="48"/>
      <c r="I173" s="48"/>
      <c r="J173" s="48"/>
      <c r="K173" s="48"/>
      <c r="L173" s="48"/>
      <c r="M173" s="48"/>
    </row>
    <row r="174" spans="1:14" ht="16.5" customHeight="1" x14ac:dyDescent="0.25">
      <c r="A174" s="2115" t="s">
        <v>117</v>
      </c>
      <c r="B174" s="2115"/>
      <c r="C174" s="2115"/>
      <c r="D174" s="49"/>
      <c r="E174" s="48"/>
      <c r="F174" s="48"/>
      <c r="G174" s="48"/>
      <c r="H174" s="48"/>
      <c r="I174" s="48"/>
      <c r="J174" s="48"/>
      <c r="K174" s="48"/>
      <c r="L174" s="48"/>
      <c r="M174" s="48"/>
    </row>
    <row r="175" spans="1:14" x14ac:dyDescent="0.25">
      <c r="A175" s="48"/>
      <c r="B175" s="49"/>
      <c r="C175" s="49"/>
      <c r="D175" s="49"/>
      <c r="E175" s="48"/>
      <c r="F175" s="48"/>
      <c r="G175" s="48"/>
      <c r="H175" s="48"/>
      <c r="I175" s="48"/>
      <c r="J175" s="48"/>
      <c r="K175" s="48"/>
      <c r="L175" s="48"/>
      <c r="M175" s="48"/>
    </row>
    <row r="176" spans="1:14" x14ac:dyDescent="0.25">
      <c r="A176" s="48"/>
      <c r="B176" s="2159" t="s">
        <v>1977</v>
      </c>
      <c r="C176" s="2160"/>
      <c r="D176" s="2160"/>
      <c r="E176" s="2160"/>
      <c r="F176" s="2160"/>
      <c r="G176" s="2160"/>
      <c r="H176" s="2160"/>
      <c r="I176" s="2161"/>
      <c r="J176" s="48"/>
      <c r="K176" s="48"/>
      <c r="L176" s="48"/>
      <c r="M176" s="48"/>
    </row>
    <row r="177" spans="1:13" x14ac:dyDescent="0.25">
      <c r="A177" s="48"/>
      <c r="B177" s="1637" t="s">
        <v>1978</v>
      </c>
      <c r="C177" s="1638"/>
      <c r="D177" s="1638"/>
      <c r="E177" s="1638"/>
      <c r="F177" s="1638"/>
      <c r="G177" s="1638"/>
      <c r="H177" s="1638"/>
      <c r="I177" s="1639"/>
      <c r="J177" s="48"/>
      <c r="K177" s="48"/>
      <c r="L177" s="48"/>
      <c r="M177" s="48"/>
    </row>
    <row r="178" spans="1:13" ht="29.25" customHeight="1" x14ac:dyDescent="0.25">
      <c r="A178" s="48"/>
      <c r="B178" s="2240" t="s">
        <v>1980</v>
      </c>
      <c r="C178" s="1632"/>
      <c r="D178" s="1632"/>
      <c r="E178" s="1632"/>
      <c r="F178" s="1632"/>
      <c r="G178" s="1632"/>
      <c r="H178" s="1632"/>
      <c r="I178" s="1633"/>
      <c r="J178" s="48"/>
      <c r="K178" s="48"/>
      <c r="L178" s="48"/>
      <c r="M178" s="48"/>
    </row>
    <row r="179" spans="1:13" ht="29.25" customHeight="1" x14ac:dyDescent="0.25">
      <c r="A179" s="48"/>
      <c r="B179" s="2240" t="s">
        <v>1981</v>
      </c>
      <c r="C179" s="1632"/>
      <c r="D179" s="1632"/>
      <c r="E179" s="1632"/>
      <c r="F179" s="1632"/>
      <c r="G179" s="1632"/>
      <c r="H179" s="1632"/>
      <c r="I179" s="1633"/>
      <c r="J179" s="48"/>
      <c r="K179" s="48"/>
      <c r="L179" s="48"/>
      <c r="M179" s="48"/>
    </row>
    <row r="180" spans="1:13" ht="27" customHeight="1" x14ac:dyDescent="0.25">
      <c r="A180" s="48"/>
      <c r="B180" s="1640" t="s">
        <v>1979</v>
      </c>
      <c r="C180" s="1641"/>
      <c r="D180" s="1641"/>
      <c r="E180" s="1641"/>
      <c r="F180" s="1641"/>
      <c r="G180" s="1641"/>
      <c r="H180" s="1641"/>
      <c r="I180" s="1642"/>
      <c r="J180" s="48"/>
      <c r="K180" s="48"/>
      <c r="L180" s="48"/>
      <c r="M180" s="48"/>
    </row>
    <row r="181" spans="1:13" x14ac:dyDescent="0.25">
      <c r="A181" s="48"/>
      <c r="B181" s="671"/>
      <c r="C181" s="981"/>
      <c r="D181" s="49"/>
      <c r="E181" s="1088"/>
      <c r="F181" s="48"/>
      <c r="G181" s="48"/>
      <c r="H181" s="48"/>
      <c r="I181" s="48"/>
      <c r="J181" s="48"/>
      <c r="K181" s="48"/>
      <c r="L181" s="48"/>
      <c r="M181" s="48"/>
    </row>
    <row r="182" spans="1:13" x14ac:dyDescent="0.25">
      <c r="A182" s="48"/>
      <c r="B182" s="2229" t="s">
        <v>1976</v>
      </c>
      <c r="C182" s="2230"/>
      <c r="D182" s="2230"/>
      <c r="E182" s="2230"/>
      <c r="F182" s="2230"/>
      <c r="G182" s="2230"/>
      <c r="H182" s="2230"/>
      <c r="I182" s="2231"/>
      <c r="J182" s="48"/>
      <c r="K182" s="48"/>
      <c r="L182" s="48"/>
      <c r="M182" s="48"/>
    </row>
    <row r="183" spans="1:13" x14ac:dyDescent="0.25">
      <c r="A183" s="48"/>
      <c r="B183" s="1637" t="s">
        <v>1982</v>
      </c>
      <c r="C183" s="1638"/>
      <c r="D183" s="1638"/>
      <c r="E183" s="1638"/>
      <c r="F183" s="1638"/>
      <c r="G183" s="1638"/>
      <c r="H183" s="1638"/>
      <c r="I183" s="1639"/>
      <c r="J183" s="48"/>
      <c r="K183" s="48"/>
      <c r="L183" s="48"/>
      <c r="M183" s="48"/>
    </row>
    <row r="184" spans="1:13" x14ac:dyDescent="0.25">
      <c r="A184" s="48"/>
      <c r="B184" s="2111" t="s">
        <v>2053</v>
      </c>
      <c r="C184" s="2112"/>
      <c r="D184" s="2112"/>
      <c r="E184" s="2112"/>
      <c r="F184" s="2112"/>
      <c r="G184" s="2112"/>
      <c r="H184" s="2112"/>
      <c r="I184" s="2113"/>
      <c r="J184" s="48"/>
      <c r="K184" s="48"/>
      <c r="L184" s="48"/>
      <c r="M184" s="48"/>
    </row>
    <row r="185" spans="1:13" x14ac:dyDescent="0.25">
      <c r="A185" s="48"/>
      <c r="B185" s="2111" t="s">
        <v>2052</v>
      </c>
      <c r="C185" s="2112"/>
      <c r="D185" s="2112"/>
      <c r="E185" s="2112"/>
      <c r="F185" s="2112"/>
      <c r="G185" s="2112"/>
      <c r="H185" s="2112"/>
      <c r="I185" s="2113"/>
      <c r="J185" s="48"/>
      <c r="K185" s="48"/>
      <c r="L185" s="48"/>
      <c r="M185" s="48"/>
    </row>
    <row r="186" spans="1:13" ht="29.25" customHeight="1" x14ac:dyDescent="0.25">
      <c r="A186" s="48"/>
      <c r="B186" s="1640" t="s">
        <v>2054</v>
      </c>
      <c r="C186" s="1641"/>
      <c r="D186" s="1641"/>
      <c r="E186" s="1641"/>
      <c r="F186" s="1641"/>
      <c r="G186" s="1641"/>
      <c r="H186" s="1641"/>
      <c r="I186" s="1642"/>
      <c r="J186" s="48"/>
      <c r="K186" s="48"/>
      <c r="L186" s="48"/>
      <c r="M186" s="48"/>
    </row>
    <row r="187" spans="1:13" ht="12" customHeight="1" x14ac:dyDescent="0.25">
      <c r="A187" s="48"/>
      <c r="B187" s="671"/>
      <c r="C187" s="981"/>
      <c r="D187" s="49"/>
      <c r="E187" s="1088"/>
      <c r="F187" s="48"/>
      <c r="G187" s="48"/>
      <c r="H187" s="48"/>
      <c r="I187" s="48"/>
      <c r="J187" s="48"/>
      <c r="K187" s="48"/>
      <c r="L187" s="48"/>
      <c r="M187" s="48"/>
    </row>
    <row r="188" spans="1:13" ht="10.5" customHeight="1" x14ac:dyDescent="0.25">
      <c r="A188" s="48"/>
      <c r="B188" s="671"/>
      <c r="C188" s="49"/>
      <c r="D188" s="49"/>
      <c r="E188" s="48"/>
      <c r="F188" s="48"/>
      <c r="G188" s="48"/>
      <c r="H188" s="48"/>
      <c r="I188" s="48"/>
      <c r="J188" s="48"/>
      <c r="K188" s="48"/>
      <c r="L188" s="48"/>
      <c r="M188" s="48"/>
    </row>
    <row r="189" spans="1:13" x14ac:dyDescent="0.25">
      <c r="A189" s="48"/>
      <c r="B189" s="671" t="s">
        <v>1222</v>
      </c>
      <c r="C189" s="49"/>
      <c r="D189" s="49"/>
      <c r="E189" s="48"/>
      <c r="F189" s="48"/>
      <c r="G189" s="48"/>
      <c r="H189" s="48"/>
      <c r="I189" s="48"/>
      <c r="J189" s="48"/>
      <c r="K189" s="48"/>
      <c r="L189" s="48"/>
      <c r="M189" s="48"/>
    </row>
    <row r="190" spans="1:13" ht="12" customHeight="1" x14ac:dyDescent="0.25">
      <c r="A190" s="48"/>
      <c r="B190" s="49"/>
      <c r="C190" s="49"/>
      <c r="D190" s="49"/>
      <c r="E190" s="49"/>
      <c r="F190" s="48"/>
      <c r="G190" s="48"/>
      <c r="H190" s="48"/>
      <c r="I190" s="48"/>
      <c r="J190" s="48"/>
      <c r="K190" s="48"/>
      <c r="L190" s="48"/>
      <c r="M190" s="48"/>
    </row>
    <row r="191" spans="1:13" x14ac:dyDescent="0.25">
      <c r="A191" s="48"/>
      <c r="B191" s="2137" t="s">
        <v>2055</v>
      </c>
      <c r="C191" s="2181"/>
      <c r="D191" s="2182" t="s">
        <v>2536</v>
      </c>
      <c r="E191" s="2184"/>
      <c r="F191" s="48"/>
      <c r="G191" s="48"/>
      <c r="H191" s="48"/>
      <c r="I191" s="48"/>
      <c r="J191" s="48"/>
      <c r="K191" s="48"/>
      <c r="L191" s="48"/>
      <c r="M191" s="48"/>
    </row>
    <row r="192" spans="1:13" ht="15" customHeight="1" x14ac:dyDescent="0.25">
      <c r="A192" s="48"/>
      <c r="B192" s="49"/>
      <c r="C192" s="49"/>
      <c r="D192" s="49"/>
      <c r="E192" s="48"/>
      <c r="F192" s="48"/>
      <c r="G192" s="48"/>
      <c r="H192" s="48"/>
      <c r="I192" s="48"/>
      <c r="J192" s="48"/>
      <c r="K192" s="48"/>
      <c r="L192" s="48"/>
      <c r="M192" s="48"/>
    </row>
    <row r="193" spans="1:23" ht="39.75" customHeight="1" x14ac:dyDescent="0.25">
      <c r="A193" s="48"/>
      <c r="B193" s="1087" t="str">
        <f>IF(D191="Unified Glare Rating approach","Occupied room",IF(D191="Select","Select the approach pursued","Lighting fixtures"))</f>
        <v>Occupied room</v>
      </c>
      <c r="C193" s="2110" t="str">
        <f>IF(D191="Unified Glare Rating approach","UGR value of lighting installation",IF(D191="Select","Select the approach pursued","Limitation of glare?"))</f>
        <v>UGR value of lighting installation</v>
      </c>
      <c r="D193" s="2110"/>
      <c r="E193" s="2110" t="str">
        <f>IF(D191="Unified Glare Rating approach","UGR limit for the given visual task ",IF(D191="Select","Select the approach pursued","Value of luminance between 45 and 90 degrees from nadir / Means used to obscure the light sources"))</f>
        <v xml:space="preserve">UGR limit for the given visual task </v>
      </c>
      <c r="F193" s="2110"/>
      <c r="G193" s="2110" t="s">
        <v>15</v>
      </c>
      <c r="H193" s="2110"/>
      <c r="I193" s="48"/>
      <c r="J193" s="48"/>
      <c r="K193" s="48"/>
      <c r="L193" s="48"/>
      <c r="M193" s="48"/>
      <c r="N193" s="37" t="s">
        <v>2057</v>
      </c>
      <c r="O193" s="37" t="s">
        <v>2058</v>
      </c>
      <c r="P193" s="37" t="s">
        <v>2056</v>
      </c>
      <c r="Q193" s="37" t="s">
        <v>89</v>
      </c>
    </row>
    <row r="194" spans="1:23" ht="18" customHeight="1" x14ac:dyDescent="0.25">
      <c r="A194" s="48"/>
      <c r="B194" s="1108"/>
      <c r="C194" s="1686" t="s">
        <v>2784</v>
      </c>
      <c r="D194" s="1686"/>
      <c r="E194" s="2232"/>
      <c r="F194" s="2232"/>
      <c r="G194" s="1686"/>
      <c r="H194" s="1686"/>
      <c r="I194" s="48"/>
      <c r="J194" s="48"/>
      <c r="K194" s="48"/>
      <c r="L194" s="48"/>
      <c r="M194" s="48"/>
      <c r="N194" s="37" t="str">
        <f>IF(C194="Select","",IF(C194="Light fixture with low luminance",IF(OR(AND(E194&lt;&gt;"",E194&lt;=2500),E194="Exception"),"Yes","No"),""))</f>
        <v>No</v>
      </c>
      <c r="O194" s="37" t="str">
        <f>IF($C$194="Select","",IF($C$194="Obscured light sources",IF($E$194&lt;&gt;"","Yes","No"),""))</f>
        <v/>
      </c>
      <c r="P194" s="37" t="b">
        <f>IF($D$191="Unified Glare Rating approach",IF(C194="UGR ≤ 16",IF(E194&gt;=16,"Yes","No"),IF(C194="UGR ≤ 19",IF(E194&gt;=19,"Yes","No"),IF(C194="UGR ≤ 22",IF(E194&gt;=22,"Yes","No"),IF(C194="UGR ≤ 25",IF(E194&gt;=25,"Yes","No"),IF(C194="UGR ≤ 28",IF(E194&gt;=28,"Yes","No")))))),"No")</f>
        <v>0</v>
      </c>
      <c r="Q194" s="37" t="str">
        <f>IF(B194="","",IF(OR(N194="Yes",O194="Yes",P194="Yes"),"Yes","No"))</f>
        <v/>
      </c>
      <c r="R194" s="37" t="s">
        <v>62</v>
      </c>
      <c r="S194" s="37" t="str">
        <f>IF($D$191="Select","",IF($D$191="Prescriptive approach","Light fixture with low luminance","UGR ≤ 16"))</f>
        <v>UGR ≤ 16</v>
      </c>
      <c r="T194" s="37" t="str">
        <f>IF($D$191="Select","",IF($D$191="Prescriptive approach","Obscured light sources","UGR ≤ 19"))</f>
        <v>UGR ≤ 19</v>
      </c>
      <c r="U194" s="37" t="str">
        <f>IF($D$191="Select","",IF($D$191="Prescriptive approach","","UGR ≤ 22"))</f>
        <v>UGR ≤ 22</v>
      </c>
      <c r="V194" s="37" t="str">
        <f>IF($D$191="Select","",IF($D$191="Prescriptive approach","","UGR ≤ 25"))</f>
        <v>UGR ≤ 25</v>
      </c>
      <c r="W194" s="37" t="str">
        <f>IF($D$191="Select","",IF($D$191="Prescriptive approach","","UGR ≤ 28"))</f>
        <v>UGR ≤ 28</v>
      </c>
    </row>
    <row r="195" spans="1:23" ht="18" customHeight="1" x14ac:dyDescent="0.25">
      <c r="A195" s="48"/>
      <c r="B195" s="1108"/>
      <c r="C195" s="1686" t="s">
        <v>62</v>
      </c>
      <c r="D195" s="1686"/>
      <c r="E195" s="2232"/>
      <c r="F195" s="2232"/>
      <c r="G195" s="1686"/>
      <c r="H195" s="1686"/>
      <c r="I195" s="48"/>
      <c r="J195" s="48"/>
      <c r="K195" s="48"/>
      <c r="L195" s="48"/>
      <c r="M195" s="48"/>
      <c r="N195" s="37" t="str">
        <f t="shared" ref="N195:N208" si="12">IF(C195="Select","",IF(C195="Light fixture with low luminance",IF(OR(AND(E195&lt;&gt;"",E195&lt;=2500),E195="Exception"),"Yes","No"),""))</f>
        <v/>
      </c>
      <c r="O195" s="37" t="str">
        <f t="shared" ref="O195:O208" si="13">IF($C$194="Select","",IF($C$194="Obscured light sources",IF($E$194&lt;&gt;"","Yes","No"),""))</f>
        <v/>
      </c>
      <c r="P195" s="37" t="b">
        <f t="shared" ref="P195:P208" si="14">IF($D$191="Unified Glare Rating approach",IF(C195="UGR ≤ 16",IF(E195&gt;=16,"Yes","No"),IF(C195="UGR ≤ 19",IF(E195&gt;=19,"Yes","No"),IF(C195="UGR ≤ 22",IF(E195&gt;=22,"Yes","No"),IF(C195="UGR ≤ 25",IF(E195&gt;=25,"Yes","No"),IF(C195="UGR ≤ 28",IF(E195&gt;=28,"Yes","No")))))),"No")</f>
        <v>0</v>
      </c>
      <c r="Q195" s="37" t="str">
        <f t="shared" ref="Q195:Q208" si="15">IF(B195="","",IF(OR(N195="Yes",O195="Yes",P195="Yes"),"Yes","No"))</f>
        <v/>
      </c>
    </row>
    <row r="196" spans="1:23" ht="18" customHeight="1" x14ac:dyDescent="0.25">
      <c r="A196" s="48"/>
      <c r="B196" s="1108"/>
      <c r="C196" s="1686" t="s">
        <v>62</v>
      </c>
      <c r="D196" s="1686"/>
      <c r="E196" s="2232"/>
      <c r="F196" s="2232"/>
      <c r="G196" s="1686"/>
      <c r="H196" s="1686"/>
      <c r="I196" s="48"/>
      <c r="J196" s="48"/>
      <c r="K196" s="48"/>
      <c r="L196" s="48"/>
      <c r="M196" s="48"/>
      <c r="N196" s="37" t="str">
        <f t="shared" si="12"/>
        <v/>
      </c>
      <c r="O196" s="37" t="str">
        <f t="shared" si="13"/>
        <v/>
      </c>
      <c r="P196" s="37" t="b">
        <f t="shared" si="14"/>
        <v>0</v>
      </c>
      <c r="Q196" s="37" t="str">
        <f t="shared" si="15"/>
        <v/>
      </c>
    </row>
    <row r="197" spans="1:23" ht="18" customHeight="1" x14ac:dyDescent="0.25">
      <c r="A197" s="48"/>
      <c r="B197" s="1108"/>
      <c r="C197" s="1686" t="s">
        <v>62</v>
      </c>
      <c r="D197" s="1686"/>
      <c r="E197" s="2232"/>
      <c r="F197" s="2232"/>
      <c r="G197" s="1686"/>
      <c r="H197" s="1686"/>
      <c r="I197" s="48"/>
      <c r="J197" s="48"/>
      <c r="K197" s="48"/>
      <c r="L197" s="48"/>
      <c r="M197" s="48"/>
      <c r="N197" s="37" t="str">
        <f t="shared" ref="N197:N203" si="16">IF(C197="Select","",IF(C197="Light fixture with low luminance",IF(OR(AND(E197&lt;&gt;"",E197&lt;=2500),E197="Exception"),"Yes","No"),""))</f>
        <v/>
      </c>
      <c r="O197" s="37" t="str">
        <f t="shared" si="13"/>
        <v/>
      </c>
      <c r="P197" s="37" t="b">
        <f t="shared" ref="P197:P203" si="17">IF($D$191="Unified Glare Rating approach",IF(C197="UGR ≤ 16",IF(E197&gt;=16,"Yes","No"),IF(C197="UGR ≤ 19",IF(E197&gt;=19,"Yes","No"),IF(C197="UGR ≤ 22",IF(E197&gt;=22,"Yes","No"),IF(C197="UGR ≤ 25",IF(E197&gt;=25,"Yes","No"),IF(C197="UGR ≤ 28",IF(E197&gt;=28,"Yes","No")))))),"No")</f>
        <v>0</v>
      </c>
      <c r="Q197" s="37" t="str">
        <f t="shared" ref="Q197:Q203" si="18">IF(B197="","",IF(OR(N197="Yes",O197="Yes",P197="Yes"),"Yes","No"))</f>
        <v/>
      </c>
    </row>
    <row r="198" spans="1:23" ht="18" customHeight="1" x14ac:dyDescent="0.25">
      <c r="A198" s="48"/>
      <c r="B198" s="1108"/>
      <c r="C198" s="1686" t="s">
        <v>62</v>
      </c>
      <c r="D198" s="1686"/>
      <c r="E198" s="2232"/>
      <c r="F198" s="2232"/>
      <c r="G198" s="1686"/>
      <c r="H198" s="1686"/>
      <c r="I198" s="48"/>
      <c r="J198" s="48"/>
      <c r="K198" s="48"/>
      <c r="L198" s="48"/>
      <c r="M198" s="48"/>
      <c r="N198" s="37" t="str">
        <f t="shared" si="16"/>
        <v/>
      </c>
      <c r="O198" s="37" t="str">
        <f t="shared" si="13"/>
        <v/>
      </c>
      <c r="P198" s="37" t="b">
        <f t="shared" si="17"/>
        <v>0</v>
      </c>
      <c r="Q198" s="37" t="str">
        <f t="shared" si="18"/>
        <v/>
      </c>
    </row>
    <row r="199" spans="1:23" ht="18" customHeight="1" x14ac:dyDescent="0.25">
      <c r="A199" s="48"/>
      <c r="B199" s="1108"/>
      <c r="C199" s="1686" t="s">
        <v>62</v>
      </c>
      <c r="D199" s="1686"/>
      <c r="E199" s="2232"/>
      <c r="F199" s="2232"/>
      <c r="G199" s="1686"/>
      <c r="H199" s="1686"/>
      <c r="I199" s="48"/>
      <c r="J199" s="48"/>
      <c r="K199" s="48"/>
      <c r="L199" s="48"/>
      <c r="M199" s="48"/>
      <c r="N199" s="37" t="str">
        <f t="shared" si="16"/>
        <v/>
      </c>
      <c r="O199" s="37" t="str">
        <f t="shared" si="13"/>
        <v/>
      </c>
      <c r="P199" s="37" t="b">
        <f t="shared" si="17"/>
        <v>0</v>
      </c>
      <c r="Q199" s="37" t="str">
        <f t="shared" si="18"/>
        <v/>
      </c>
    </row>
    <row r="200" spans="1:23" ht="18" customHeight="1" x14ac:dyDescent="0.25">
      <c r="A200" s="48"/>
      <c r="B200" s="1108"/>
      <c r="C200" s="1686" t="s">
        <v>62</v>
      </c>
      <c r="D200" s="1686"/>
      <c r="E200" s="2232"/>
      <c r="F200" s="2232"/>
      <c r="G200" s="1686"/>
      <c r="H200" s="1686"/>
      <c r="I200" s="48"/>
      <c r="J200" s="48"/>
      <c r="K200" s="48"/>
      <c r="L200" s="48"/>
      <c r="M200" s="48"/>
      <c r="N200" s="37" t="str">
        <f t="shared" si="16"/>
        <v/>
      </c>
      <c r="O200" s="37" t="str">
        <f t="shared" si="13"/>
        <v/>
      </c>
      <c r="P200" s="37" t="b">
        <f t="shared" si="17"/>
        <v>0</v>
      </c>
      <c r="Q200" s="37" t="str">
        <f t="shared" si="18"/>
        <v/>
      </c>
    </row>
    <row r="201" spans="1:23" ht="18" customHeight="1" x14ac:dyDescent="0.25">
      <c r="A201" s="48"/>
      <c r="B201" s="1108"/>
      <c r="C201" s="1686" t="s">
        <v>62</v>
      </c>
      <c r="D201" s="1686"/>
      <c r="E201" s="2232"/>
      <c r="F201" s="2232"/>
      <c r="G201" s="1686"/>
      <c r="H201" s="1686"/>
      <c r="I201" s="48"/>
      <c r="J201" s="48"/>
      <c r="K201" s="48"/>
      <c r="L201" s="48"/>
      <c r="M201" s="48"/>
      <c r="N201" s="37" t="str">
        <f t="shared" si="16"/>
        <v/>
      </c>
      <c r="O201" s="37" t="str">
        <f t="shared" si="13"/>
        <v/>
      </c>
      <c r="P201" s="37" t="b">
        <f t="shared" si="17"/>
        <v>0</v>
      </c>
      <c r="Q201" s="37" t="str">
        <f t="shared" si="18"/>
        <v/>
      </c>
    </row>
    <row r="202" spans="1:23" ht="18" customHeight="1" x14ac:dyDescent="0.25">
      <c r="A202" s="48"/>
      <c r="B202" s="1108"/>
      <c r="C202" s="1686" t="s">
        <v>62</v>
      </c>
      <c r="D202" s="1686"/>
      <c r="E202" s="2232"/>
      <c r="F202" s="2232"/>
      <c r="G202" s="1686"/>
      <c r="H202" s="1686"/>
      <c r="I202" s="48"/>
      <c r="J202" s="48"/>
      <c r="K202" s="48"/>
      <c r="L202" s="48"/>
      <c r="M202" s="48"/>
      <c r="N202" s="37" t="str">
        <f t="shared" si="16"/>
        <v/>
      </c>
      <c r="O202" s="37" t="str">
        <f t="shared" si="13"/>
        <v/>
      </c>
      <c r="P202" s="37" t="b">
        <f t="shared" si="17"/>
        <v>0</v>
      </c>
      <c r="Q202" s="37" t="str">
        <f t="shared" si="18"/>
        <v/>
      </c>
    </row>
    <row r="203" spans="1:23" ht="18" customHeight="1" x14ac:dyDescent="0.25">
      <c r="A203" s="48"/>
      <c r="B203" s="1108"/>
      <c r="C203" s="1686" t="s">
        <v>62</v>
      </c>
      <c r="D203" s="1686"/>
      <c r="E203" s="2232"/>
      <c r="F203" s="2232"/>
      <c r="G203" s="1686"/>
      <c r="H203" s="1686"/>
      <c r="I203" s="48"/>
      <c r="J203" s="48"/>
      <c r="K203" s="48"/>
      <c r="L203" s="48"/>
      <c r="M203" s="48"/>
      <c r="N203" s="37" t="str">
        <f t="shared" si="16"/>
        <v/>
      </c>
      <c r="O203" s="37" t="str">
        <f t="shared" si="13"/>
        <v/>
      </c>
      <c r="P203" s="37" t="b">
        <f t="shared" si="17"/>
        <v>0</v>
      </c>
      <c r="Q203" s="37" t="str">
        <f t="shared" si="18"/>
        <v/>
      </c>
    </row>
    <row r="204" spans="1:23" ht="18" customHeight="1" x14ac:dyDescent="0.25">
      <c r="A204" s="48"/>
      <c r="B204" s="1108"/>
      <c r="C204" s="1686" t="s">
        <v>62</v>
      </c>
      <c r="D204" s="1686"/>
      <c r="E204" s="2232"/>
      <c r="F204" s="2232"/>
      <c r="G204" s="1686"/>
      <c r="H204" s="1686"/>
      <c r="I204" s="48"/>
      <c r="J204" s="48"/>
      <c r="K204" s="48"/>
      <c r="L204" s="48"/>
      <c r="M204" s="48"/>
      <c r="N204" s="37" t="str">
        <f t="shared" si="12"/>
        <v/>
      </c>
      <c r="O204" s="37" t="str">
        <f t="shared" si="13"/>
        <v/>
      </c>
      <c r="P204" s="37" t="b">
        <f t="shared" si="14"/>
        <v>0</v>
      </c>
      <c r="Q204" s="37" t="str">
        <f t="shared" si="15"/>
        <v/>
      </c>
    </row>
    <row r="205" spans="1:23" ht="18" customHeight="1" x14ac:dyDescent="0.25">
      <c r="A205" s="48"/>
      <c r="B205" s="1108"/>
      <c r="C205" s="1686" t="s">
        <v>62</v>
      </c>
      <c r="D205" s="1686"/>
      <c r="E205" s="2232"/>
      <c r="F205" s="2232"/>
      <c r="G205" s="1686"/>
      <c r="H205" s="1686"/>
      <c r="I205" s="48"/>
      <c r="J205" s="48"/>
      <c r="K205" s="48"/>
      <c r="L205" s="48"/>
      <c r="M205" s="48"/>
      <c r="N205" s="37" t="str">
        <f t="shared" si="12"/>
        <v/>
      </c>
      <c r="O205" s="37" t="str">
        <f t="shared" si="13"/>
        <v/>
      </c>
      <c r="P205" s="37" t="b">
        <f t="shared" si="14"/>
        <v>0</v>
      </c>
      <c r="Q205" s="37" t="str">
        <f t="shared" si="15"/>
        <v/>
      </c>
    </row>
    <row r="206" spans="1:23" ht="18" customHeight="1" x14ac:dyDescent="0.25">
      <c r="A206" s="48"/>
      <c r="B206" s="1108"/>
      <c r="C206" s="1686" t="s">
        <v>62</v>
      </c>
      <c r="D206" s="1686"/>
      <c r="E206" s="2232"/>
      <c r="F206" s="2232"/>
      <c r="G206" s="1686"/>
      <c r="H206" s="1686"/>
      <c r="I206" s="48"/>
      <c r="J206" s="48"/>
      <c r="K206" s="48"/>
      <c r="L206" s="48"/>
      <c r="M206" s="48"/>
      <c r="N206" s="37" t="str">
        <f t="shared" si="12"/>
        <v/>
      </c>
      <c r="O206" s="37" t="str">
        <f t="shared" si="13"/>
        <v/>
      </c>
      <c r="P206" s="37" t="b">
        <f t="shared" si="14"/>
        <v>0</v>
      </c>
      <c r="Q206" s="37" t="str">
        <f t="shared" si="15"/>
        <v/>
      </c>
    </row>
    <row r="207" spans="1:23" ht="18" customHeight="1" x14ac:dyDescent="0.25">
      <c r="A207" s="48"/>
      <c r="B207" s="1108"/>
      <c r="C207" s="1686" t="s">
        <v>62</v>
      </c>
      <c r="D207" s="1686"/>
      <c r="E207" s="2232"/>
      <c r="F207" s="2232"/>
      <c r="G207" s="1686"/>
      <c r="H207" s="1686"/>
      <c r="I207" s="48"/>
      <c r="J207" s="48"/>
      <c r="K207" s="48"/>
      <c r="L207" s="48"/>
      <c r="M207" s="48"/>
      <c r="N207" s="37" t="str">
        <f t="shared" si="12"/>
        <v/>
      </c>
      <c r="O207" s="37" t="str">
        <f t="shared" si="13"/>
        <v/>
      </c>
      <c r="P207" s="37" t="b">
        <f t="shared" si="14"/>
        <v>0</v>
      </c>
      <c r="Q207" s="37" t="str">
        <f t="shared" si="15"/>
        <v/>
      </c>
    </row>
    <row r="208" spans="1:23" ht="18" customHeight="1" x14ac:dyDescent="0.25">
      <c r="A208" s="48"/>
      <c r="B208" s="1108"/>
      <c r="C208" s="1686" t="s">
        <v>62</v>
      </c>
      <c r="D208" s="1686"/>
      <c r="E208" s="2232"/>
      <c r="F208" s="2232"/>
      <c r="G208" s="1686"/>
      <c r="H208" s="1686"/>
      <c r="I208" s="48"/>
      <c r="J208" s="48"/>
      <c r="K208" s="48"/>
      <c r="L208" s="48"/>
      <c r="M208" s="48"/>
      <c r="N208" s="37" t="str">
        <f t="shared" si="12"/>
        <v/>
      </c>
      <c r="O208" s="37" t="str">
        <f t="shared" si="13"/>
        <v/>
      </c>
      <c r="P208" s="37" t="b">
        <f t="shared" si="14"/>
        <v>0</v>
      </c>
      <c r="Q208" s="37" t="str">
        <f t="shared" si="15"/>
        <v/>
      </c>
    </row>
    <row r="209" spans="1:17" ht="16.5" customHeight="1" x14ac:dyDescent="0.25">
      <c r="A209" s="48"/>
      <c r="B209" s="49"/>
      <c r="C209" s="49"/>
      <c r="D209" s="49"/>
      <c r="E209" s="49"/>
      <c r="F209" s="48"/>
      <c r="G209" s="48"/>
      <c r="H209" s="48"/>
      <c r="I209" s="48"/>
      <c r="J209" s="48"/>
      <c r="K209" s="48"/>
      <c r="L209" s="48"/>
      <c r="M209" s="48"/>
      <c r="Q209" s="37" t="str">
        <f>IF(COUNTIF(Q194:Q208,"No")&gt;0,"No",IF(COUNTIF(Q194:Q208,"Yes")&gt;0,"Yes","No"))</f>
        <v>No</v>
      </c>
    </row>
    <row r="210" spans="1:17" ht="18" customHeight="1" x14ac:dyDescent="0.25">
      <c r="A210" s="48"/>
      <c r="B210" s="2102" t="s">
        <v>2059</v>
      </c>
      <c r="C210" s="2102"/>
      <c r="D210" s="70" t="str">
        <f>Q209</f>
        <v>No</v>
      </c>
      <c r="E210" s="48"/>
      <c r="F210" s="48"/>
      <c r="G210" s="48"/>
      <c r="H210" s="48"/>
      <c r="I210" s="48"/>
      <c r="J210" s="48"/>
      <c r="K210" s="48"/>
      <c r="L210" s="48"/>
      <c r="M210" s="48"/>
    </row>
    <row r="211" spans="1:17" ht="21" customHeight="1" x14ac:dyDescent="0.25">
      <c r="A211" s="48"/>
      <c r="B211" s="49"/>
      <c r="C211" s="49"/>
      <c r="D211" s="49"/>
      <c r="E211" s="48"/>
      <c r="F211" s="48"/>
      <c r="G211" s="48"/>
      <c r="H211" s="48"/>
      <c r="I211" s="48"/>
      <c r="J211" s="48"/>
      <c r="K211" s="48"/>
      <c r="L211" s="48"/>
      <c r="M211" s="48"/>
    </row>
    <row r="212" spans="1:17" ht="16.5" customHeight="1" x14ac:dyDescent="0.25">
      <c r="A212" s="2115" t="s">
        <v>97</v>
      </c>
      <c r="B212" s="2115"/>
      <c r="C212" s="2115"/>
      <c r="D212" s="49"/>
      <c r="E212" s="49"/>
      <c r="F212" s="49"/>
      <c r="G212" s="49"/>
      <c r="H212" s="49"/>
      <c r="I212" s="49"/>
      <c r="J212" s="49"/>
      <c r="K212" s="49"/>
      <c r="L212" s="49"/>
      <c r="M212" s="48"/>
    </row>
    <row r="213" spans="1:17" x14ac:dyDescent="0.25">
      <c r="A213" s="48"/>
      <c r="B213" s="49"/>
      <c r="C213" s="49"/>
      <c r="D213" s="49"/>
      <c r="E213" s="48"/>
      <c r="F213" s="48"/>
      <c r="G213" s="48"/>
      <c r="H213" s="48"/>
      <c r="I213" s="48"/>
      <c r="J213" s="48"/>
      <c r="K213" s="48"/>
      <c r="L213" s="48"/>
      <c r="M213" s="48"/>
    </row>
    <row r="214" spans="1:17" ht="21" customHeight="1" x14ac:dyDescent="0.25">
      <c r="A214" s="48"/>
      <c r="B214" s="2093" t="s">
        <v>2788</v>
      </c>
      <c r="C214" s="2094"/>
      <c r="D214" s="2094"/>
      <c r="E214" s="2094"/>
      <c r="F214" s="2094"/>
      <c r="G214" s="256" t="s">
        <v>1297</v>
      </c>
      <c r="H214" s="2095" t="s">
        <v>1298</v>
      </c>
      <c r="I214" s="2095"/>
      <c r="J214" s="48"/>
      <c r="K214" s="48"/>
      <c r="L214" s="48"/>
      <c r="M214" s="48"/>
    </row>
    <row r="215" spans="1:17" ht="27.75" customHeight="1" x14ac:dyDescent="0.25">
      <c r="A215" s="48"/>
      <c r="B215" s="1644" t="str">
        <f>Submittals!H123</f>
        <v>Select the Submission Stage in Project Information</v>
      </c>
      <c r="C215" s="1645"/>
      <c r="D215" s="1645"/>
      <c r="E215" s="1645"/>
      <c r="F215" s="1645"/>
      <c r="G215" s="827" t="s">
        <v>62</v>
      </c>
      <c r="H215" s="1625"/>
      <c r="I215" s="1626"/>
      <c r="J215" s="48"/>
      <c r="K215" s="48"/>
      <c r="L215" s="48"/>
      <c r="M215" s="48"/>
      <c r="N215" s="37" t="str">
        <f>IF($D$191&lt;&gt;"Prescriptive approach","Yes",IF(OR(B215="/",B215="No evidence required at this submission stage"),"Yes",IF(G215="Submitted","Yes","No")))</f>
        <v>Yes</v>
      </c>
    </row>
    <row r="216" spans="1:17" ht="27.75" customHeight="1" x14ac:dyDescent="0.25">
      <c r="A216" s="48"/>
      <c r="B216" s="1644" t="str">
        <f>Submittals!H124</f>
        <v>Select the Submission Stage in Project Information</v>
      </c>
      <c r="C216" s="1645"/>
      <c r="D216" s="1645"/>
      <c r="E216" s="1645"/>
      <c r="F216" s="1645"/>
      <c r="G216" s="827" t="s">
        <v>62</v>
      </c>
      <c r="H216" s="1625"/>
      <c r="I216" s="1626"/>
      <c r="J216" s="48"/>
      <c r="K216" s="48"/>
      <c r="L216" s="48"/>
      <c r="M216" s="48"/>
      <c r="N216" s="37" t="str">
        <f t="shared" ref="N216:N218" si="19">IF($D$191&lt;&gt;"Prescriptive approach","Yes",IF(OR(B216="/",B216="No evidence required at this submission stage"),"Yes",IF(G216="Submitted","Yes","No")))</f>
        <v>Yes</v>
      </c>
    </row>
    <row r="217" spans="1:17" ht="36" customHeight="1" x14ac:dyDescent="0.25">
      <c r="A217" s="48"/>
      <c r="B217" s="1644" t="str">
        <f>Submittals!H125</f>
        <v>Select the Submission Stage in Project Information</v>
      </c>
      <c r="C217" s="1645"/>
      <c r="D217" s="1645"/>
      <c r="E217" s="1645"/>
      <c r="F217" s="1645"/>
      <c r="G217" s="1301" t="s">
        <v>62</v>
      </c>
      <c r="H217" s="1625"/>
      <c r="I217" s="1626"/>
      <c r="J217" s="48"/>
      <c r="K217" s="48"/>
      <c r="L217" s="48"/>
      <c r="M217" s="48"/>
      <c r="N217" s="37" t="str">
        <f t="shared" si="19"/>
        <v>Yes</v>
      </c>
    </row>
    <row r="218" spans="1:17" ht="41.25" customHeight="1" x14ac:dyDescent="0.25">
      <c r="A218" s="48"/>
      <c r="B218" s="1644" t="str">
        <f>Submittals!H126</f>
        <v>Select the Submission Stage in Project Information</v>
      </c>
      <c r="C218" s="1645"/>
      <c r="D218" s="1645"/>
      <c r="E218" s="1645"/>
      <c r="F218" s="1645"/>
      <c r="G218" s="1301" t="s">
        <v>62</v>
      </c>
      <c r="H218" s="1625"/>
      <c r="I218" s="1626"/>
      <c r="J218" s="48"/>
      <c r="K218" s="48"/>
      <c r="L218" s="48"/>
      <c r="M218" s="48"/>
      <c r="N218" s="37" t="str">
        <f t="shared" si="19"/>
        <v>Yes</v>
      </c>
    </row>
    <row r="219" spans="1:17" x14ac:dyDescent="0.25">
      <c r="A219" s="48"/>
      <c r="B219" s="49"/>
      <c r="C219" s="49"/>
      <c r="D219" s="49"/>
      <c r="E219" s="48"/>
      <c r="F219" s="48"/>
      <c r="G219" s="48"/>
      <c r="H219" s="48"/>
      <c r="I219" s="48"/>
      <c r="J219" s="48"/>
      <c r="K219" s="48"/>
      <c r="L219" s="48"/>
      <c r="M219" s="48"/>
    </row>
    <row r="220" spans="1:17" ht="21" customHeight="1" x14ac:dyDescent="0.25">
      <c r="A220" s="48"/>
      <c r="B220" s="2093" t="s">
        <v>2791</v>
      </c>
      <c r="C220" s="2094"/>
      <c r="D220" s="2094"/>
      <c r="E220" s="2094"/>
      <c r="F220" s="2094"/>
      <c r="G220" s="1303" t="s">
        <v>1297</v>
      </c>
      <c r="H220" s="2095" t="s">
        <v>1298</v>
      </c>
      <c r="I220" s="2095"/>
      <c r="J220" s="48"/>
      <c r="K220" s="48"/>
      <c r="L220" s="48"/>
      <c r="M220" s="48"/>
    </row>
    <row r="221" spans="1:17" ht="27.75" customHeight="1" x14ac:dyDescent="0.25">
      <c r="A221" s="48"/>
      <c r="B221" s="1644" t="str">
        <f>Submittals!H127</f>
        <v>Select the Submission Stage in Project Information</v>
      </c>
      <c r="C221" s="1645"/>
      <c r="D221" s="1645"/>
      <c r="E221" s="1645"/>
      <c r="F221" s="1645"/>
      <c r="G221" s="1301" t="s">
        <v>62</v>
      </c>
      <c r="H221" s="1625"/>
      <c r="I221" s="1626"/>
      <c r="J221" s="48"/>
      <c r="K221" s="48"/>
      <c r="L221" s="48"/>
      <c r="M221" s="48"/>
      <c r="N221" s="37" t="str">
        <f>IF($D$191&lt;&gt;"Unified Glare Rating approach","Yes",IF(OR(B221="/",B221="No evidence required at this submission stage"),"Yes",IF(G221="Submitted","Yes","No")))</f>
        <v>No</v>
      </c>
    </row>
    <row r="222" spans="1:17" ht="27.75" customHeight="1" x14ac:dyDescent="0.25">
      <c r="A222" s="48"/>
      <c r="B222" s="1644" t="str">
        <f>Submittals!H128</f>
        <v>Select the Submission Stage in Project Information</v>
      </c>
      <c r="C222" s="1645"/>
      <c r="D222" s="1645"/>
      <c r="E222" s="1645"/>
      <c r="F222" s="1645"/>
      <c r="G222" s="1301" t="s">
        <v>62</v>
      </c>
      <c r="H222" s="1625"/>
      <c r="I222" s="1626"/>
      <c r="J222" s="48"/>
      <c r="K222" s="48"/>
      <c r="L222" s="48"/>
      <c r="M222" s="48"/>
      <c r="N222" s="37" t="str">
        <f t="shared" ref="N222:N223" si="20">IF($D$191&lt;&gt;"Unified Glare Rating approach","Yes",IF(OR(B222="/",B222="No evidence required at this submission stage"),"Yes",IF(G222="Submitted","Yes","No")))</f>
        <v>No</v>
      </c>
    </row>
    <row r="223" spans="1:17" ht="27.75" customHeight="1" x14ac:dyDescent="0.25">
      <c r="A223" s="48"/>
      <c r="B223" s="1644" t="str">
        <f>Submittals!H129</f>
        <v>Select the Submission Stage in Project Information</v>
      </c>
      <c r="C223" s="1645"/>
      <c r="D223" s="1645"/>
      <c r="E223" s="1645"/>
      <c r="F223" s="1645"/>
      <c r="G223" s="1301" t="s">
        <v>62</v>
      </c>
      <c r="H223" s="1625"/>
      <c r="I223" s="1626"/>
      <c r="J223" s="48"/>
      <c r="K223" s="48"/>
      <c r="L223" s="48"/>
      <c r="M223" s="48"/>
      <c r="N223" s="37" t="str">
        <f t="shared" si="20"/>
        <v>No</v>
      </c>
    </row>
    <row r="224" spans="1:17" x14ac:dyDescent="0.25">
      <c r="A224" s="48"/>
      <c r="B224" s="49"/>
      <c r="C224" s="49"/>
      <c r="D224" s="49"/>
      <c r="E224" s="48"/>
      <c r="F224" s="48"/>
      <c r="G224" s="48"/>
      <c r="H224" s="48"/>
      <c r="I224" s="48"/>
      <c r="J224" s="48"/>
      <c r="K224" s="48"/>
      <c r="L224" s="48"/>
      <c r="M224" s="48"/>
    </row>
    <row r="225" spans="1:13" ht="16.5" customHeight="1" x14ac:dyDescent="0.25">
      <c r="A225" s="2115" t="s">
        <v>8</v>
      </c>
      <c r="B225" s="2115"/>
      <c r="C225" s="2115"/>
      <c r="D225" s="49"/>
      <c r="E225" s="48"/>
      <c r="F225" s="48"/>
      <c r="G225" s="48"/>
      <c r="H225" s="48"/>
      <c r="I225" s="48"/>
      <c r="J225" s="48"/>
      <c r="K225" s="48"/>
      <c r="L225" s="48"/>
      <c r="M225" s="48"/>
    </row>
    <row r="226" spans="1:13" ht="16.5" customHeight="1" x14ac:dyDescent="0.25">
      <c r="A226" s="48"/>
      <c r="B226" s="49"/>
      <c r="C226" s="49"/>
      <c r="D226" s="49"/>
      <c r="E226" s="48"/>
      <c r="F226" s="48"/>
      <c r="G226" s="48"/>
      <c r="H226" s="48"/>
      <c r="I226" s="48"/>
      <c r="J226" s="48"/>
      <c r="K226" s="48"/>
      <c r="L226" s="48"/>
      <c r="M226" s="48"/>
    </row>
    <row r="227" spans="1:13" ht="18" customHeight="1" x14ac:dyDescent="0.25">
      <c r="A227" s="48"/>
      <c r="B227" s="145" t="s">
        <v>606</v>
      </c>
      <c r="C227" s="8" t="str">
        <f>IF(D210="Yes","Yes","No")</f>
        <v>No</v>
      </c>
      <c r="D227" s="49"/>
      <c r="E227" s="48"/>
      <c r="F227" s="48"/>
      <c r="G227" s="48"/>
      <c r="H227" s="48"/>
      <c r="I227" s="48"/>
      <c r="J227" s="48"/>
      <c r="K227" s="48"/>
      <c r="L227" s="48"/>
      <c r="M227" s="48"/>
    </row>
    <row r="228" spans="1:13" ht="18" customHeight="1" x14ac:dyDescent="0.25">
      <c r="A228" s="48"/>
      <c r="B228" s="146" t="s">
        <v>151</v>
      </c>
      <c r="C228" s="7" t="str">
        <f>IF(AND(COUNTIF(N215:N223,"Yes")=7,C227="Yes"),"Yes","No")</f>
        <v>No</v>
      </c>
      <c r="D228" s="49"/>
      <c r="E228" s="48"/>
      <c r="F228" s="48"/>
      <c r="G228" s="48"/>
      <c r="H228" s="48"/>
      <c r="I228" s="48"/>
      <c r="J228" s="48"/>
      <c r="K228" s="48"/>
      <c r="L228" s="48"/>
      <c r="M228" s="48"/>
    </row>
    <row r="229" spans="1:13" ht="21.75" customHeight="1" x14ac:dyDescent="0.25">
      <c r="A229" s="48"/>
      <c r="B229" s="49"/>
      <c r="C229" s="49"/>
      <c r="D229" s="49"/>
      <c r="E229" s="48"/>
      <c r="F229" s="48"/>
      <c r="G229" s="48"/>
      <c r="H229" s="48"/>
      <c r="I229" s="48"/>
      <c r="J229" s="48"/>
      <c r="K229" s="48"/>
      <c r="L229" s="48"/>
      <c r="M229" s="48"/>
    </row>
    <row r="230" spans="1:13" ht="18" customHeight="1" x14ac:dyDescent="0.25">
      <c r="A230" s="2092" t="s">
        <v>2050</v>
      </c>
      <c r="B230" s="2092"/>
      <c r="C230" s="2092"/>
      <c r="D230" s="2092"/>
      <c r="E230" s="2092"/>
      <c r="F230" s="2092"/>
      <c r="G230" s="2092"/>
      <c r="H230" s="2092"/>
      <c r="I230" s="2092"/>
      <c r="J230" s="2092"/>
      <c r="K230" s="2092"/>
      <c r="L230" s="2092"/>
      <c r="M230" s="2092"/>
    </row>
    <row r="231" spans="1:13" ht="12" customHeight="1" x14ac:dyDescent="0.25">
      <c r="A231" s="48"/>
      <c r="B231" s="49"/>
      <c r="C231" s="49"/>
      <c r="D231" s="49"/>
      <c r="E231" s="48"/>
      <c r="F231" s="48"/>
      <c r="G231" s="48"/>
      <c r="H231" s="48"/>
      <c r="I231" s="48"/>
      <c r="J231" s="48"/>
      <c r="K231" s="48"/>
      <c r="L231" s="48"/>
      <c r="M231" s="48"/>
    </row>
    <row r="232" spans="1:13" ht="15" customHeight="1" x14ac:dyDescent="0.25">
      <c r="A232" s="48"/>
      <c r="B232" s="2233" t="s">
        <v>2537</v>
      </c>
      <c r="C232" s="2233"/>
      <c r="D232" s="2233"/>
      <c r="E232" s="2233"/>
      <c r="F232" s="2233"/>
      <c r="G232" s="2233"/>
      <c r="H232" s="2233"/>
      <c r="I232" s="2233"/>
      <c r="J232" s="2233"/>
      <c r="K232" s="48"/>
      <c r="L232" s="48"/>
      <c r="M232" s="48"/>
    </row>
    <row r="233" spans="1:13" ht="15" customHeight="1" x14ac:dyDescent="0.25">
      <c r="A233" s="48"/>
      <c r="B233" s="2233"/>
      <c r="C233" s="2233"/>
      <c r="D233" s="2233"/>
      <c r="E233" s="2233"/>
      <c r="F233" s="2233"/>
      <c r="G233" s="2233"/>
      <c r="H233" s="2233"/>
      <c r="I233" s="2233"/>
      <c r="J233" s="2233"/>
      <c r="K233" s="48"/>
      <c r="L233" s="48"/>
      <c r="M233" s="48"/>
    </row>
    <row r="234" spans="1:13" ht="15" customHeight="1" x14ac:dyDescent="0.25">
      <c r="A234" s="48"/>
      <c r="B234" s="2233"/>
      <c r="C234" s="2233"/>
      <c r="D234" s="2233"/>
      <c r="E234" s="2233"/>
      <c r="F234" s="2233"/>
      <c r="G234" s="2233"/>
      <c r="H234" s="2233"/>
      <c r="I234" s="2233"/>
      <c r="J234" s="2233"/>
      <c r="K234" s="48"/>
      <c r="L234" s="48"/>
      <c r="M234" s="48"/>
    </row>
    <row r="235" spans="1:13" ht="15" customHeight="1" x14ac:dyDescent="0.25">
      <c r="A235" s="48"/>
      <c r="B235" s="1069"/>
      <c r="C235" s="1069"/>
      <c r="D235" s="1069"/>
      <c r="E235" s="1069"/>
      <c r="F235" s="1069"/>
      <c r="G235" s="1069"/>
      <c r="H235" s="1069"/>
      <c r="I235" s="1069"/>
      <c r="J235" s="1069"/>
      <c r="K235" s="48"/>
      <c r="L235" s="48"/>
      <c r="M235" s="48"/>
    </row>
    <row r="236" spans="1:13" ht="16.5" customHeight="1" x14ac:dyDescent="0.25">
      <c r="A236" s="2115" t="s">
        <v>117</v>
      </c>
      <c r="B236" s="2115"/>
      <c r="C236" s="2115"/>
      <c r="D236" s="49"/>
      <c r="E236" s="48"/>
      <c r="F236" s="48"/>
      <c r="G236" s="48"/>
      <c r="H236" s="48"/>
      <c r="I236" s="48"/>
      <c r="J236" s="48"/>
      <c r="K236" s="48"/>
      <c r="L236" s="48"/>
      <c r="M236" s="48"/>
    </row>
    <row r="237" spans="1:13" ht="16.5" customHeight="1" x14ac:dyDescent="0.25">
      <c r="A237" s="48"/>
      <c r="B237" s="49"/>
      <c r="C237" s="49"/>
      <c r="D237" s="49"/>
      <c r="E237" s="49"/>
      <c r="F237" s="48"/>
      <c r="G237" s="48"/>
      <c r="H237" s="48"/>
      <c r="I237" s="48"/>
      <c r="J237" s="48"/>
      <c r="K237" s="48"/>
      <c r="L237" s="48"/>
      <c r="M237" s="48"/>
    </row>
    <row r="238" spans="1:13" ht="15" customHeight="1" x14ac:dyDescent="0.25">
      <c r="A238" s="48"/>
      <c r="B238" s="1112" t="s">
        <v>2538</v>
      </c>
      <c r="C238" s="48"/>
      <c r="D238" s="48"/>
      <c r="E238" s="48"/>
      <c r="F238" s="48"/>
      <c r="G238" s="48"/>
      <c r="H238" s="48"/>
      <c r="I238" s="48"/>
      <c r="J238" s="48"/>
      <c r="K238" s="48"/>
      <c r="L238" s="48"/>
      <c r="M238" s="48"/>
    </row>
    <row r="239" spans="1:13" ht="18.75" customHeight="1" x14ac:dyDescent="0.25">
      <c r="A239" s="48"/>
      <c r="B239" s="48"/>
      <c r="C239" s="48"/>
      <c r="D239" s="48"/>
      <c r="E239" s="48"/>
      <c r="F239" s="48"/>
      <c r="G239" s="48"/>
      <c r="H239" s="48"/>
      <c r="I239" s="48"/>
      <c r="J239" s="48"/>
      <c r="K239" s="48"/>
      <c r="L239" s="48"/>
      <c r="M239" s="48"/>
    </row>
    <row r="240" spans="1:13" ht="16.5" customHeight="1" x14ac:dyDescent="0.25">
      <c r="A240" s="48"/>
      <c r="B240" s="1776" t="s">
        <v>2041</v>
      </c>
      <c r="C240" s="1753"/>
      <c r="D240" s="1753"/>
      <c r="E240" s="1753"/>
      <c r="F240" s="1753"/>
      <c r="G240" s="1753"/>
      <c r="H240" s="1753"/>
      <c r="I240" s="1753"/>
      <c r="J240" s="1754"/>
      <c r="K240" s="48"/>
      <c r="L240" s="48"/>
      <c r="M240" s="48"/>
    </row>
    <row r="241" spans="1:15" ht="16.5" customHeight="1" x14ac:dyDescent="0.25">
      <c r="A241" s="48"/>
      <c r="B241" s="1796" t="s">
        <v>2040</v>
      </c>
      <c r="C241" s="1797"/>
      <c r="D241" s="1797"/>
      <c r="E241" s="1797"/>
      <c r="F241" s="1797"/>
      <c r="G241" s="1797"/>
      <c r="H241" s="1797"/>
      <c r="I241" s="1797"/>
      <c r="J241" s="1798"/>
      <c r="K241" s="48"/>
      <c r="L241" s="48"/>
      <c r="M241" s="48"/>
    </row>
    <row r="242" spans="1:15" ht="16.5" customHeight="1" x14ac:dyDescent="0.25">
      <c r="A242" s="48"/>
      <c r="B242" s="1796" t="s">
        <v>1741</v>
      </c>
      <c r="C242" s="1797"/>
      <c r="D242" s="1797"/>
      <c r="E242" s="1797"/>
      <c r="F242" s="1797"/>
      <c r="G242" s="1797"/>
      <c r="H242" s="1797"/>
      <c r="I242" s="1797"/>
      <c r="J242" s="1798"/>
      <c r="K242" s="48"/>
      <c r="L242" s="48"/>
      <c r="M242" s="48"/>
    </row>
    <row r="243" spans="1:15" ht="16.5" customHeight="1" x14ac:dyDescent="0.25">
      <c r="A243" s="48"/>
      <c r="B243" s="1803" t="s">
        <v>2042</v>
      </c>
      <c r="C243" s="1804"/>
      <c r="D243" s="1804"/>
      <c r="E243" s="1804"/>
      <c r="F243" s="1804"/>
      <c r="G243" s="1804"/>
      <c r="H243" s="1804"/>
      <c r="I243" s="1804"/>
      <c r="J243" s="1805"/>
      <c r="K243" s="48"/>
      <c r="L243" s="48"/>
      <c r="M243" s="48"/>
    </row>
    <row r="244" spans="1:15" ht="16.5" customHeight="1" x14ac:dyDescent="0.25">
      <c r="A244" s="48"/>
      <c r="B244" s="48"/>
      <c r="C244" s="48"/>
      <c r="D244" s="48"/>
      <c r="E244" s="48"/>
      <c r="F244" s="48"/>
      <c r="G244" s="48"/>
      <c r="H244" s="48"/>
      <c r="I244" s="48"/>
      <c r="J244" s="48"/>
      <c r="K244" s="48"/>
      <c r="L244" s="48"/>
      <c r="M244" s="48"/>
    </row>
    <row r="245" spans="1:15" ht="16.5" customHeight="1" x14ac:dyDescent="0.25">
      <c r="A245" s="48"/>
      <c r="B245" s="1776" t="s">
        <v>1971</v>
      </c>
      <c r="C245" s="1753"/>
      <c r="D245" s="1753"/>
      <c r="E245" s="1753"/>
      <c r="F245" s="1753"/>
      <c r="G245" s="1753"/>
      <c r="H245" s="1753"/>
      <c r="I245" s="1753"/>
      <c r="J245" s="1754"/>
      <c r="K245" s="48"/>
      <c r="L245" s="48"/>
      <c r="M245" s="48"/>
    </row>
    <row r="246" spans="1:15" ht="16.5" customHeight="1" x14ac:dyDescent="0.25">
      <c r="A246" s="48"/>
      <c r="B246" s="1796" t="s">
        <v>2044</v>
      </c>
      <c r="C246" s="1797"/>
      <c r="D246" s="1797"/>
      <c r="E246" s="1797"/>
      <c r="F246" s="1797"/>
      <c r="G246" s="1797"/>
      <c r="H246" s="1797"/>
      <c r="I246" s="1797"/>
      <c r="J246" s="1798"/>
      <c r="K246" s="48"/>
      <c r="L246" s="48"/>
      <c r="M246" s="48"/>
    </row>
    <row r="247" spans="1:15" ht="16.5" customHeight="1" x14ac:dyDescent="0.25">
      <c r="A247" s="48"/>
      <c r="B247" s="1803" t="s">
        <v>2043</v>
      </c>
      <c r="C247" s="1804"/>
      <c r="D247" s="1804"/>
      <c r="E247" s="1804"/>
      <c r="F247" s="1804"/>
      <c r="G247" s="1804"/>
      <c r="H247" s="1804"/>
      <c r="I247" s="1804"/>
      <c r="J247" s="1805"/>
      <c r="K247" s="48"/>
      <c r="L247" s="48"/>
      <c r="M247" s="48"/>
    </row>
    <row r="248" spans="1:15" ht="18.75" customHeight="1" x14ac:dyDescent="0.25">
      <c r="A248" s="48"/>
      <c r="B248" s="48"/>
      <c r="C248" s="48"/>
      <c r="D248" s="48"/>
      <c r="E248" s="48"/>
      <c r="F248" s="48"/>
      <c r="G248" s="48"/>
      <c r="H248" s="48"/>
      <c r="I248" s="48"/>
      <c r="J248" s="48"/>
      <c r="K248" s="48"/>
      <c r="L248" s="48"/>
      <c r="M248" s="48"/>
    </row>
    <row r="249" spans="1:15" ht="16.5" customHeight="1" x14ac:dyDescent="0.25">
      <c r="A249" s="48"/>
      <c r="B249" s="671" t="s">
        <v>1890</v>
      </c>
      <c r="C249" s="49"/>
      <c r="D249" s="49"/>
      <c r="E249" s="49"/>
      <c r="F249" s="48"/>
      <c r="G249" s="48"/>
      <c r="H249" s="48"/>
      <c r="I249" s="48"/>
      <c r="J249" s="48"/>
      <c r="K249" s="48"/>
      <c r="L249" s="48"/>
      <c r="M249" s="48"/>
    </row>
    <row r="250" spans="1:15" ht="14.25" customHeight="1" x14ac:dyDescent="0.25">
      <c r="A250" s="48"/>
      <c r="B250" s="49"/>
      <c r="C250" s="49"/>
      <c r="D250" s="49"/>
      <c r="E250" s="49"/>
      <c r="F250" s="48"/>
      <c r="G250" s="48"/>
      <c r="H250" s="48"/>
      <c r="I250" s="48"/>
      <c r="J250" s="48"/>
      <c r="K250" s="48"/>
      <c r="L250" s="48"/>
      <c r="M250" s="48"/>
    </row>
    <row r="251" spans="1:15" ht="31.5" customHeight="1" x14ac:dyDescent="0.25">
      <c r="A251" s="48"/>
      <c r="B251" s="973" t="s">
        <v>2045</v>
      </c>
      <c r="C251" s="972" t="s">
        <v>2051</v>
      </c>
      <c r="D251" s="1110" t="s">
        <v>2039</v>
      </c>
      <c r="E251" s="1110" t="s">
        <v>15</v>
      </c>
      <c r="F251" s="48"/>
      <c r="G251" s="1111" t="s">
        <v>2046</v>
      </c>
      <c r="H251" s="1110" t="s">
        <v>2047</v>
      </c>
      <c r="I251" s="1110" t="s">
        <v>2048</v>
      </c>
      <c r="J251" s="2242" t="s">
        <v>15</v>
      </c>
      <c r="K251" s="2242"/>
      <c r="L251" s="2243"/>
      <c r="M251" s="48"/>
    </row>
    <row r="252" spans="1:15" x14ac:dyDescent="0.25">
      <c r="A252" s="48"/>
      <c r="B252" s="493"/>
      <c r="C252" s="1116"/>
      <c r="D252" s="1109" t="s">
        <v>62</v>
      </c>
      <c r="E252" s="1107"/>
      <c r="F252" s="48"/>
      <c r="G252" s="1108"/>
      <c r="H252" s="1108" t="s">
        <v>62</v>
      </c>
      <c r="I252" s="1108" t="s">
        <v>62</v>
      </c>
      <c r="J252" s="1682"/>
      <c r="K252" s="1683"/>
      <c r="L252" s="2244"/>
      <c r="M252" s="48"/>
      <c r="N252" s="37" t="str">
        <f>IF(AND(B252&lt;&gt;"",D252&lt;&gt;"No",D252&lt;&gt;"Select"),C252,IF(C252="No",0,""))</f>
        <v/>
      </c>
      <c r="O252" s="37" t="str">
        <f>IF(AND(H252="Yes",OR(I252="Yes",I252="N/a"),G252&lt;&gt;""),"Yes",IF(OR(H252="No",I252="No"),"No",""))</f>
        <v/>
      </c>
    </row>
    <row r="253" spans="1:15" ht="18" customHeight="1" x14ac:dyDescent="0.25">
      <c r="A253" s="48"/>
      <c r="B253" s="1025"/>
      <c r="C253" s="1116"/>
      <c r="D253" s="1109" t="s">
        <v>62</v>
      </c>
      <c r="E253" s="1107"/>
      <c r="F253" s="48"/>
      <c r="G253" s="1108"/>
      <c r="H253" s="1108" t="s">
        <v>62</v>
      </c>
      <c r="I253" s="1108" t="s">
        <v>62</v>
      </c>
      <c r="J253" s="1625"/>
      <c r="K253" s="1662"/>
      <c r="L253" s="1626"/>
      <c r="M253" s="48"/>
      <c r="N253" s="37" t="str">
        <f t="shared" ref="N253:N266" si="21">IF(AND(B253&lt;&gt;"",D253&lt;&gt;"No",D253&lt;&gt;"Select"),C253,IF(C253="No",0,""))</f>
        <v/>
      </c>
      <c r="O253" s="37" t="str">
        <f t="shared" ref="O253:O266" si="22">IF(AND(H253="Yes",OR(I253="Yes",I253="N/a"),G253&lt;&gt;""),"Yes",IF(OR(H253="No",I253="No"),"No",""))</f>
        <v/>
      </c>
    </row>
    <row r="254" spans="1:15" ht="18" customHeight="1" x14ac:dyDescent="0.25">
      <c r="A254" s="48"/>
      <c r="B254" s="1025"/>
      <c r="C254" s="1116"/>
      <c r="D254" s="1109" t="s">
        <v>62</v>
      </c>
      <c r="E254" s="1107"/>
      <c r="F254" s="48"/>
      <c r="G254" s="1108"/>
      <c r="H254" s="1108" t="s">
        <v>62</v>
      </c>
      <c r="I254" s="1108" t="s">
        <v>62</v>
      </c>
      <c r="J254" s="1625"/>
      <c r="K254" s="1662"/>
      <c r="L254" s="1626"/>
      <c r="M254" s="48"/>
      <c r="N254" s="37" t="str">
        <f t="shared" si="21"/>
        <v/>
      </c>
      <c r="O254" s="37" t="str">
        <f t="shared" si="22"/>
        <v/>
      </c>
    </row>
    <row r="255" spans="1:15" ht="18" customHeight="1" x14ac:dyDescent="0.25">
      <c r="A255" s="48"/>
      <c r="B255" s="1025"/>
      <c r="C255" s="1116"/>
      <c r="D255" s="1109" t="s">
        <v>62</v>
      </c>
      <c r="E255" s="1107"/>
      <c r="F255" s="48"/>
      <c r="G255" s="1108"/>
      <c r="H255" s="1108" t="s">
        <v>62</v>
      </c>
      <c r="I255" s="1108" t="s">
        <v>62</v>
      </c>
      <c r="J255" s="1625"/>
      <c r="K255" s="1662"/>
      <c r="L255" s="1626"/>
      <c r="M255" s="48"/>
      <c r="N255" s="37" t="str">
        <f t="shared" si="21"/>
        <v/>
      </c>
      <c r="O255" s="37" t="str">
        <f t="shared" si="22"/>
        <v/>
      </c>
    </row>
    <row r="256" spans="1:15" ht="18" customHeight="1" x14ac:dyDescent="0.25">
      <c r="A256" s="48"/>
      <c r="B256" s="1108"/>
      <c r="C256" s="1116"/>
      <c r="D256" s="1109" t="s">
        <v>62</v>
      </c>
      <c r="E256" s="1107"/>
      <c r="F256" s="48"/>
      <c r="G256" s="1108"/>
      <c r="H256" s="1108" t="s">
        <v>62</v>
      </c>
      <c r="I256" s="1108" t="s">
        <v>62</v>
      </c>
      <c r="J256" s="1625"/>
      <c r="K256" s="1662"/>
      <c r="L256" s="1626"/>
      <c r="M256" s="48"/>
      <c r="N256" s="37" t="str">
        <f t="shared" si="21"/>
        <v/>
      </c>
      <c r="O256" s="37" t="str">
        <f t="shared" si="22"/>
        <v/>
      </c>
    </row>
    <row r="257" spans="1:15" ht="18" customHeight="1" x14ac:dyDescent="0.25">
      <c r="A257" s="48"/>
      <c r="B257" s="1108"/>
      <c r="C257" s="1116"/>
      <c r="D257" s="1109" t="s">
        <v>62</v>
      </c>
      <c r="E257" s="1107"/>
      <c r="F257" s="48"/>
      <c r="G257" s="1108"/>
      <c r="H257" s="1108" t="s">
        <v>62</v>
      </c>
      <c r="I257" s="1108" t="s">
        <v>62</v>
      </c>
      <c r="J257" s="1625"/>
      <c r="K257" s="1662"/>
      <c r="L257" s="1626"/>
      <c r="M257" s="48"/>
      <c r="N257" s="37" t="str">
        <f t="shared" si="21"/>
        <v/>
      </c>
      <c r="O257" s="37" t="str">
        <f t="shared" si="22"/>
        <v/>
      </c>
    </row>
    <row r="258" spans="1:15" ht="18" customHeight="1" x14ac:dyDescent="0.25">
      <c r="A258" s="48"/>
      <c r="B258" s="1108"/>
      <c r="C258" s="1116"/>
      <c r="D258" s="1109" t="s">
        <v>62</v>
      </c>
      <c r="E258" s="1107"/>
      <c r="F258" s="48"/>
      <c r="G258" s="1108"/>
      <c r="H258" s="1108" t="s">
        <v>62</v>
      </c>
      <c r="I258" s="1108" t="s">
        <v>62</v>
      </c>
      <c r="J258" s="1625"/>
      <c r="K258" s="1662"/>
      <c r="L258" s="1626"/>
      <c r="M258" s="48"/>
      <c r="N258" s="37" t="str">
        <f t="shared" si="21"/>
        <v/>
      </c>
      <c r="O258" s="37" t="str">
        <f t="shared" si="22"/>
        <v/>
      </c>
    </row>
    <row r="259" spans="1:15" ht="18" customHeight="1" x14ac:dyDescent="0.25">
      <c r="A259" s="48"/>
      <c r="B259" s="1108"/>
      <c r="C259" s="1116"/>
      <c r="D259" s="1109" t="s">
        <v>62</v>
      </c>
      <c r="E259" s="1107"/>
      <c r="F259" s="48"/>
      <c r="G259" s="1108"/>
      <c r="H259" s="1108" t="s">
        <v>62</v>
      </c>
      <c r="I259" s="1108" t="s">
        <v>62</v>
      </c>
      <c r="J259" s="1625"/>
      <c r="K259" s="1662"/>
      <c r="L259" s="1626"/>
      <c r="M259" s="48"/>
      <c r="N259" s="37" t="str">
        <f t="shared" si="21"/>
        <v/>
      </c>
      <c r="O259" s="37" t="str">
        <f t="shared" si="22"/>
        <v/>
      </c>
    </row>
    <row r="260" spans="1:15" ht="18" customHeight="1" x14ac:dyDescent="0.25">
      <c r="A260" s="48"/>
      <c r="B260" s="1108"/>
      <c r="C260" s="1116"/>
      <c r="D260" s="1109" t="s">
        <v>62</v>
      </c>
      <c r="E260" s="1107"/>
      <c r="F260" s="48"/>
      <c r="G260" s="1108"/>
      <c r="H260" s="1108" t="s">
        <v>62</v>
      </c>
      <c r="I260" s="1108" t="s">
        <v>62</v>
      </c>
      <c r="J260" s="1625"/>
      <c r="K260" s="1662"/>
      <c r="L260" s="1626"/>
      <c r="M260" s="48"/>
      <c r="N260" s="37" t="str">
        <f t="shared" si="21"/>
        <v/>
      </c>
      <c r="O260" s="37" t="str">
        <f t="shared" si="22"/>
        <v/>
      </c>
    </row>
    <row r="261" spans="1:15" ht="18" customHeight="1" x14ac:dyDescent="0.25">
      <c r="A261" s="48"/>
      <c r="B261" s="1108"/>
      <c r="C261" s="1116"/>
      <c r="D261" s="1109" t="s">
        <v>62</v>
      </c>
      <c r="E261" s="1107"/>
      <c r="F261" s="48"/>
      <c r="G261" s="1108"/>
      <c r="H261" s="1108" t="s">
        <v>62</v>
      </c>
      <c r="I261" s="1108" t="s">
        <v>62</v>
      </c>
      <c r="J261" s="1625"/>
      <c r="K261" s="1662"/>
      <c r="L261" s="1626"/>
      <c r="M261" s="48"/>
      <c r="N261" s="37" t="str">
        <f t="shared" si="21"/>
        <v/>
      </c>
      <c r="O261" s="37" t="str">
        <f t="shared" si="22"/>
        <v/>
      </c>
    </row>
    <row r="262" spans="1:15" ht="18" customHeight="1" x14ac:dyDescent="0.25">
      <c r="A262" s="48"/>
      <c r="B262" s="1108"/>
      <c r="C262" s="1116"/>
      <c r="D262" s="1109" t="s">
        <v>62</v>
      </c>
      <c r="E262" s="1107"/>
      <c r="F262" s="48"/>
      <c r="G262" s="1108"/>
      <c r="H262" s="1108" t="s">
        <v>62</v>
      </c>
      <c r="I262" s="1108" t="s">
        <v>62</v>
      </c>
      <c r="J262" s="1625"/>
      <c r="K262" s="1662"/>
      <c r="L262" s="1626"/>
      <c r="M262" s="48"/>
      <c r="N262" s="37" t="str">
        <f t="shared" si="21"/>
        <v/>
      </c>
      <c r="O262" s="37" t="str">
        <f t="shared" si="22"/>
        <v/>
      </c>
    </row>
    <row r="263" spans="1:15" ht="18" customHeight="1" x14ac:dyDescent="0.25">
      <c r="A263" s="48"/>
      <c r="B263" s="1025"/>
      <c r="C263" s="1116"/>
      <c r="D263" s="1109" t="s">
        <v>62</v>
      </c>
      <c r="E263" s="1107"/>
      <c r="F263" s="48"/>
      <c r="G263" s="1108"/>
      <c r="H263" s="1108" t="s">
        <v>62</v>
      </c>
      <c r="I263" s="1108" t="s">
        <v>62</v>
      </c>
      <c r="J263" s="1687"/>
      <c r="K263" s="2245"/>
      <c r="L263" s="1688"/>
      <c r="M263" s="48"/>
      <c r="N263" s="37" t="str">
        <f t="shared" si="21"/>
        <v/>
      </c>
      <c r="O263" s="37" t="str">
        <f t="shared" si="22"/>
        <v/>
      </c>
    </row>
    <row r="264" spans="1:15" ht="18" customHeight="1" x14ac:dyDescent="0.25">
      <c r="A264" s="48"/>
      <c r="B264" s="493"/>
      <c r="C264" s="1116"/>
      <c r="D264" s="1109" t="s">
        <v>62</v>
      </c>
      <c r="E264" s="1107"/>
      <c r="F264" s="48"/>
      <c r="G264" s="1108"/>
      <c r="H264" s="1108" t="s">
        <v>62</v>
      </c>
      <c r="I264" s="1108" t="s">
        <v>62</v>
      </c>
      <c r="J264" s="1687"/>
      <c r="K264" s="2245"/>
      <c r="L264" s="1688"/>
      <c r="M264" s="48"/>
      <c r="N264" s="37" t="str">
        <f t="shared" si="21"/>
        <v/>
      </c>
      <c r="O264" s="37" t="str">
        <f t="shared" si="22"/>
        <v/>
      </c>
    </row>
    <row r="265" spans="1:15" ht="16.5" customHeight="1" x14ac:dyDescent="0.25">
      <c r="A265" s="48"/>
      <c r="B265" s="1025"/>
      <c r="C265" s="1116"/>
      <c r="D265" s="1109" t="s">
        <v>62</v>
      </c>
      <c r="E265" s="1107"/>
      <c r="F265" s="48"/>
      <c r="G265" s="1108"/>
      <c r="H265" s="1108" t="s">
        <v>62</v>
      </c>
      <c r="I265" s="1108" t="s">
        <v>62</v>
      </c>
      <c r="J265" s="1682"/>
      <c r="K265" s="1683"/>
      <c r="L265" s="2244"/>
      <c r="M265" s="48"/>
      <c r="N265" s="37" t="str">
        <f t="shared" si="21"/>
        <v/>
      </c>
      <c r="O265" s="37" t="str">
        <f t="shared" si="22"/>
        <v/>
      </c>
    </row>
    <row r="266" spans="1:15" ht="16.5" customHeight="1" x14ac:dyDescent="0.25">
      <c r="A266" s="48"/>
      <c r="B266" s="1025"/>
      <c r="C266" s="1116"/>
      <c r="D266" s="1109" t="s">
        <v>62</v>
      </c>
      <c r="E266" s="1107"/>
      <c r="F266" s="48"/>
      <c r="G266" s="1108"/>
      <c r="H266" s="1108" t="s">
        <v>62</v>
      </c>
      <c r="I266" s="1108" t="s">
        <v>62</v>
      </c>
      <c r="J266" s="1625"/>
      <c r="K266" s="1662"/>
      <c r="L266" s="1626"/>
      <c r="M266" s="48"/>
      <c r="N266" s="37" t="str">
        <f t="shared" si="21"/>
        <v/>
      </c>
      <c r="O266" s="37" t="str">
        <f t="shared" si="22"/>
        <v/>
      </c>
    </row>
    <row r="267" spans="1:15" ht="21.75" customHeight="1" x14ac:dyDescent="0.25">
      <c r="A267" s="48"/>
      <c r="B267" s="49"/>
      <c r="C267" s="49"/>
      <c r="D267" s="49"/>
      <c r="E267" s="48"/>
      <c r="F267" s="48"/>
      <c r="G267" s="48"/>
      <c r="H267" s="48"/>
      <c r="I267" s="48"/>
      <c r="J267" s="48"/>
      <c r="K267" s="48"/>
      <c r="L267" s="48"/>
      <c r="M267" s="48"/>
      <c r="N267" s="37" t="str">
        <f>IFERROR(IF(SUM(N252:N266)/SUM(C252:C266)&gt;=0.9,"Yes","No"),"No")</f>
        <v>No</v>
      </c>
      <c r="O267" s="37" t="str">
        <f>IF(COUNTIF(O252:O266,"No")&gt;0,"No",IF(COUNTIF(O252:O266,"Yes")&gt;0,"Yes","No"))</f>
        <v>No</v>
      </c>
    </row>
    <row r="268" spans="1:15" ht="18" customHeight="1" x14ac:dyDescent="0.25">
      <c r="A268" s="48"/>
      <c r="B268" s="2102" t="s">
        <v>1740</v>
      </c>
      <c r="C268" s="2102"/>
      <c r="D268" s="70" t="str">
        <f>IF(AND(N267="Yes",O267="Yes"),"Yes","No")</f>
        <v>No</v>
      </c>
      <c r="E268" s="48"/>
      <c r="F268" s="48"/>
      <c r="G268" s="48"/>
      <c r="H268" s="48"/>
      <c r="I268" s="48"/>
      <c r="J268" s="48"/>
      <c r="K268" s="48"/>
      <c r="L268" s="48"/>
      <c r="M268" s="48"/>
    </row>
    <row r="269" spans="1:15" ht="19.5" customHeight="1" x14ac:dyDescent="0.25">
      <c r="A269" s="48"/>
      <c r="B269" s="49"/>
      <c r="C269" s="49"/>
      <c r="D269" s="49"/>
      <c r="E269" s="48"/>
      <c r="F269" s="48"/>
      <c r="G269" s="48"/>
      <c r="H269" s="48"/>
      <c r="I269" s="48"/>
      <c r="J269" s="48"/>
      <c r="K269" s="48"/>
      <c r="L269" s="48"/>
      <c r="M269" s="48"/>
    </row>
    <row r="270" spans="1:15" ht="16.5" customHeight="1" x14ac:dyDescent="0.25">
      <c r="A270" s="2115" t="s">
        <v>97</v>
      </c>
      <c r="B270" s="2115"/>
      <c r="C270" s="2115"/>
      <c r="D270" s="49"/>
      <c r="E270" s="49"/>
      <c r="F270" s="49"/>
      <c r="G270" s="49"/>
      <c r="H270" s="49"/>
      <c r="I270" s="49"/>
      <c r="J270" s="49"/>
      <c r="K270" s="49"/>
      <c r="L270" s="49"/>
      <c r="M270" s="48"/>
    </row>
    <row r="271" spans="1:15" x14ac:dyDescent="0.25">
      <c r="A271" s="48"/>
      <c r="B271" s="49"/>
      <c r="C271" s="49"/>
      <c r="D271" s="49"/>
      <c r="E271" s="48"/>
      <c r="F271" s="48"/>
      <c r="G271" s="48"/>
      <c r="H271" s="48"/>
      <c r="I271" s="48"/>
      <c r="J271" s="48"/>
      <c r="K271" s="48"/>
      <c r="L271" s="48"/>
      <c r="M271" s="48"/>
    </row>
    <row r="272" spans="1:15" ht="21" customHeight="1" x14ac:dyDescent="0.25">
      <c r="A272" s="48"/>
      <c r="B272" s="2093" t="s">
        <v>98</v>
      </c>
      <c r="C272" s="2094"/>
      <c r="D272" s="2094"/>
      <c r="E272" s="2094"/>
      <c r="F272" s="2094"/>
      <c r="G272" s="256" t="s">
        <v>1297</v>
      </c>
      <c r="H272" s="2095" t="s">
        <v>1298</v>
      </c>
      <c r="I272" s="2095"/>
      <c r="J272" s="48"/>
      <c r="K272" s="48"/>
      <c r="L272" s="48"/>
      <c r="M272" s="48"/>
    </row>
    <row r="273" spans="1:16" ht="27.75" customHeight="1" x14ac:dyDescent="0.25">
      <c r="A273" s="48"/>
      <c r="B273" s="1644" t="str">
        <f>Submittals!G130</f>
        <v>• Not available in the draft version of LOTUS Interiors Pilot</v>
      </c>
      <c r="C273" s="1645"/>
      <c r="D273" s="1645"/>
      <c r="E273" s="1645"/>
      <c r="F273" s="1645"/>
      <c r="G273" s="827" t="s">
        <v>62</v>
      </c>
      <c r="H273" s="1625"/>
      <c r="I273" s="1626"/>
      <c r="J273" s="48"/>
      <c r="K273" s="48"/>
      <c r="L273" s="48"/>
      <c r="M273" s="48"/>
      <c r="N273" s="37" t="str">
        <f>IF(OR(B273="/",B273="No evidence required at this submission stage"),"Yes",IF(G273="Submitted","Yes","No"))</f>
        <v>No</v>
      </c>
    </row>
    <row r="274" spans="1:16" ht="27.75" customHeight="1" x14ac:dyDescent="0.25">
      <c r="A274" s="48"/>
      <c r="B274" s="1644" t="str">
        <f>Submittals!G131</f>
        <v>• Not available in the draft version of LOTUS Interiors Pilot</v>
      </c>
      <c r="C274" s="1645"/>
      <c r="D274" s="1645"/>
      <c r="E274" s="1645"/>
      <c r="F274" s="1645"/>
      <c r="G274" s="827" t="s">
        <v>62</v>
      </c>
      <c r="H274" s="1625"/>
      <c r="I274" s="1626"/>
      <c r="J274" s="48"/>
      <c r="K274" s="48"/>
      <c r="L274" s="48"/>
      <c r="M274" s="48"/>
      <c r="N274" s="37" t="str">
        <f>IF(OR(B274="/",B274="No evidence required at this submission stage"),"Yes",IF(G274="Submitted","Yes","No"))</f>
        <v>No</v>
      </c>
    </row>
    <row r="275" spans="1:16" ht="18.75" customHeight="1" x14ac:dyDescent="0.25">
      <c r="A275" s="48"/>
      <c r="B275" s="49"/>
      <c r="C275" s="49"/>
      <c r="D275" s="49"/>
      <c r="E275" s="48"/>
      <c r="F275" s="48"/>
      <c r="G275" s="48"/>
      <c r="H275" s="48"/>
      <c r="I275" s="48"/>
      <c r="J275" s="48"/>
      <c r="K275" s="48"/>
      <c r="L275" s="48"/>
      <c r="M275" s="48"/>
    </row>
    <row r="276" spans="1:16" ht="16.5" customHeight="1" x14ac:dyDescent="0.25">
      <c r="A276" s="2115" t="s">
        <v>8</v>
      </c>
      <c r="B276" s="2115"/>
      <c r="C276" s="2115"/>
      <c r="D276" s="49"/>
      <c r="E276" s="48"/>
      <c r="F276" s="48"/>
      <c r="G276" s="48"/>
      <c r="H276" s="48"/>
      <c r="I276" s="48"/>
      <c r="J276" s="48"/>
      <c r="K276" s="48"/>
      <c r="L276" s="48"/>
      <c r="M276" s="48"/>
    </row>
    <row r="277" spans="1:16" ht="16.5" customHeight="1" x14ac:dyDescent="0.25">
      <c r="A277" s="48"/>
      <c r="B277" s="49"/>
      <c r="C277" s="49"/>
      <c r="D277" s="49"/>
      <c r="E277" s="48"/>
      <c r="F277" s="48"/>
      <c r="G277" s="48"/>
      <c r="H277" s="48"/>
      <c r="I277" s="48"/>
      <c r="J277" s="48"/>
      <c r="K277" s="48"/>
      <c r="L277" s="48"/>
      <c r="M277" s="48"/>
    </row>
    <row r="278" spans="1:16" ht="16.5" customHeight="1" x14ac:dyDescent="0.25">
      <c r="A278" s="48"/>
      <c r="B278" s="145" t="s">
        <v>606</v>
      </c>
      <c r="C278" s="8" t="str">
        <f>IF(D268="Yes","Yes","No")</f>
        <v>No</v>
      </c>
      <c r="D278" s="49"/>
      <c r="E278" s="48"/>
      <c r="F278" s="48"/>
      <c r="G278" s="48"/>
      <c r="H278" s="48"/>
      <c r="I278" s="48"/>
      <c r="J278" s="48"/>
      <c r="K278" s="48"/>
      <c r="L278" s="48"/>
      <c r="M278" s="48"/>
    </row>
    <row r="279" spans="1:16" ht="16.5" customHeight="1" x14ac:dyDescent="0.25">
      <c r="A279" s="48"/>
      <c r="B279" s="146" t="s">
        <v>151</v>
      </c>
      <c r="C279" s="7" t="str">
        <f>IF(AND(COUNTIF(N273:N274,"Yes")=2,C278="Yes"),"Yes","No")</f>
        <v>No</v>
      </c>
      <c r="D279" s="49"/>
      <c r="E279" s="48"/>
      <c r="F279" s="48"/>
      <c r="G279" s="48"/>
      <c r="H279" s="48"/>
      <c r="I279" s="48"/>
      <c r="J279" s="48"/>
      <c r="K279" s="48"/>
      <c r="L279" s="48"/>
      <c r="M279" s="48"/>
    </row>
    <row r="280" spans="1:16" ht="21" customHeight="1" x14ac:dyDescent="0.25">
      <c r="A280" s="48"/>
      <c r="B280" s="49"/>
      <c r="C280" s="49"/>
      <c r="D280" s="49"/>
      <c r="E280" s="48"/>
      <c r="F280" s="48"/>
      <c r="G280" s="48"/>
      <c r="H280" s="48"/>
      <c r="I280" s="48"/>
      <c r="J280" s="48"/>
      <c r="K280" s="48"/>
      <c r="L280" s="48"/>
      <c r="M280" s="48"/>
    </row>
    <row r="281" spans="1:16" ht="18" customHeight="1" x14ac:dyDescent="0.25">
      <c r="A281" s="2092" t="s">
        <v>607</v>
      </c>
      <c r="B281" s="2092"/>
      <c r="C281" s="2092"/>
      <c r="D281" s="2092"/>
      <c r="E281" s="2092"/>
      <c r="F281" s="2092"/>
      <c r="G281" s="2092"/>
      <c r="H281" s="2092"/>
      <c r="I281" s="2092"/>
      <c r="J281" s="2092"/>
      <c r="K281" s="2092"/>
      <c r="L281" s="2092"/>
      <c r="M281" s="2092"/>
      <c r="N281" s="37" t="str">
        <f>C278</f>
        <v>No</v>
      </c>
      <c r="O281" s="37" t="str">
        <f>C279</f>
        <v>No</v>
      </c>
      <c r="P281" s="37">
        <f>IF(AND(N281="Yes",O281="Yes"),1,0)</f>
        <v>0</v>
      </c>
    </row>
    <row r="282" spans="1:16" ht="16.5" customHeight="1" x14ac:dyDescent="0.25">
      <c r="A282" s="48"/>
      <c r="B282" s="49"/>
      <c r="C282" s="49"/>
      <c r="D282" s="49"/>
      <c r="E282" s="48"/>
      <c r="F282" s="48"/>
      <c r="G282" s="48"/>
      <c r="H282" s="48"/>
      <c r="I282" s="48"/>
      <c r="J282" s="48"/>
      <c r="K282" s="48"/>
      <c r="L282" s="48"/>
      <c r="M282" s="48"/>
      <c r="N282" s="37" t="str">
        <f>C227</f>
        <v>No</v>
      </c>
      <c r="O282" s="37" t="str">
        <f>C228</f>
        <v>No</v>
      </c>
      <c r="P282" s="37">
        <f>IF(AND(N282="Yes",O282="Yes"),1,0)</f>
        <v>0</v>
      </c>
    </row>
    <row r="283" spans="1:16" ht="18.75" customHeight="1" x14ac:dyDescent="0.25">
      <c r="A283" s="48"/>
      <c r="B283" s="145" t="s">
        <v>19</v>
      </c>
      <c r="C283" s="8">
        <f>IF(COUNTIF(N281:N285,"Yes")=3,2,IF(COUNTIF(N281:N285,"Yes")=2,1,0))</f>
        <v>0</v>
      </c>
      <c r="D283" s="49"/>
      <c r="E283" s="48"/>
      <c r="F283" s="48"/>
      <c r="G283" s="48"/>
      <c r="H283" s="48"/>
      <c r="I283" s="48"/>
      <c r="J283" s="48"/>
      <c r="K283" s="48"/>
      <c r="L283" s="48"/>
      <c r="M283" s="48"/>
      <c r="N283" s="37" t="str">
        <f>C167</f>
        <v>No</v>
      </c>
      <c r="O283" s="37" t="str">
        <f>C168</f>
        <v>No</v>
      </c>
      <c r="P283" s="37">
        <f t="shared" ref="P283:P285" si="23">IF(AND(N283="Yes",O283="Yes"),1,0)</f>
        <v>0</v>
      </c>
    </row>
    <row r="284" spans="1:16" ht="18.75" customHeight="1" x14ac:dyDescent="0.25">
      <c r="A284" s="48"/>
      <c r="B284" s="146" t="s">
        <v>151</v>
      </c>
      <c r="C284" s="7" t="str">
        <f>IF(C283&gt;0,IF(SUM(P281:P285)=COUNTIF(N281:N285,"Yes"),"Yes","No"),"No")</f>
        <v>No</v>
      </c>
      <c r="D284" s="49"/>
      <c r="E284" s="48"/>
      <c r="F284" s="48"/>
      <c r="G284" s="48"/>
      <c r="H284" s="48"/>
      <c r="I284" s="48"/>
      <c r="J284" s="48"/>
      <c r="K284" s="48"/>
      <c r="L284" s="48"/>
      <c r="M284" s="48"/>
      <c r="N284" s="37" t="str">
        <f>C126</f>
        <v>No</v>
      </c>
      <c r="O284" s="37" t="str">
        <f>C127</f>
        <v>No</v>
      </c>
      <c r="P284" s="37">
        <f t="shared" si="23"/>
        <v>0</v>
      </c>
    </row>
    <row r="285" spans="1:16" ht="16.5" customHeight="1" x14ac:dyDescent="0.25">
      <c r="A285" s="48"/>
      <c r="B285" s="49"/>
      <c r="C285" s="49"/>
      <c r="D285" s="49"/>
      <c r="E285" s="48"/>
      <c r="F285" s="48"/>
      <c r="G285" s="48"/>
      <c r="H285" s="48"/>
      <c r="I285" s="48"/>
      <c r="J285" s="48"/>
      <c r="K285" s="48"/>
      <c r="L285" s="48"/>
      <c r="M285" s="48"/>
      <c r="N285" s="37" t="str">
        <f>C80</f>
        <v>No</v>
      </c>
      <c r="O285" s="37" t="str">
        <f>C81</f>
        <v>No</v>
      </c>
      <c r="P285" s="37">
        <f t="shared" si="23"/>
        <v>0</v>
      </c>
    </row>
    <row r="286" spans="1:16" ht="15" hidden="1" customHeight="1" x14ac:dyDescent="0.25"/>
    <row r="287" spans="1:16" ht="15" hidden="1" customHeight="1" x14ac:dyDescent="0.25"/>
    <row r="288" spans="1:16"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sheetData>
  <sheetProtection algorithmName="SHA-512" hashValue="WiOzxo6Bpr0hroqiV7FGC/iKrYvY2h4jWdbhacJHZmgFiOddNssWpg2YKgcE9kGwMx2Zg46O1w4Nnu0B3NFEiQ==" saltValue="00SrWkSGILrB+zuV8FrpnA==" spinCount="100000" sheet="1" objects="1" scenarios="1"/>
  <mergeCells count="258">
    <mergeCell ref="H105:I105"/>
    <mergeCell ref="H106:I106"/>
    <mergeCell ref="H107:I107"/>
    <mergeCell ref="H108:I108"/>
    <mergeCell ref="H109:I109"/>
    <mergeCell ref="H110:I110"/>
    <mergeCell ref="H111:I111"/>
    <mergeCell ref="H112:I112"/>
    <mergeCell ref="H96:I96"/>
    <mergeCell ref="H97:I97"/>
    <mergeCell ref="H98:I98"/>
    <mergeCell ref="H99:I99"/>
    <mergeCell ref="H100:I100"/>
    <mergeCell ref="H101:I101"/>
    <mergeCell ref="H102:I102"/>
    <mergeCell ref="H103:I103"/>
    <mergeCell ref="H104:I104"/>
    <mergeCell ref="J67:K67"/>
    <mergeCell ref="J68:K68"/>
    <mergeCell ref="A44:C44"/>
    <mergeCell ref="B16:J16"/>
    <mergeCell ref="B17:J17"/>
    <mergeCell ref="B18:J18"/>
    <mergeCell ref="B19:J19"/>
    <mergeCell ref="B20:J20"/>
    <mergeCell ref="B21:J21"/>
    <mergeCell ref="J66:K66"/>
    <mergeCell ref="G55:H55"/>
    <mergeCell ref="G56:H56"/>
    <mergeCell ref="G57:H57"/>
    <mergeCell ref="G58:H58"/>
    <mergeCell ref="G59:H59"/>
    <mergeCell ref="G60:H60"/>
    <mergeCell ref="G61:H61"/>
    <mergeCell ref="G62:H62"/>
    <mergeCell ref="G63:H63"/>
    <mergeCell ref="B42:C42"/>
    <mergeCell ref="E42:G42"/>
    <mergeCell ref="G48:H48"/>
    <mergeCell ref="G49:H49"/>
    <mergeCell ref="G50:H50"/>
    <mergeCell ref="A14:M14"/>
    <mergeCell ref="G64:H64"/>
    <mergeCell ref="G65:H65"/>
    <mergeCell ref="G66:H66"/>
    <mergeCell ref="G67:H67"/>
    <mergeCell ref="G68:H68"/>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G51:H51"/>
    <mergeCell ref="G52:H52"/>
    <mergeCell ref="G53:H53"/>
    <mergeCell ref="G54:H54"/>
    <mergeCell ref="B32:C32"/>
    <mergeCell ref="E32:G32"/>
    <mergeCell ref="B33:C37"/>
    <mergeCell ref="E33:G33"/>
    <mergeCell ref="E34:G34"/>
    <mergeCell ref="E35:G35"/>
    <mergeCell ref="E36:G36"/>
    <mergeCell ref="E37:G37"/>
    <mergeCell ref="B38:C41"/>
    <mergeCell ref="E38:G38"/>
    <mergeCell ref="E39:G39"/>
    <mergeCell ref="E40:G40"/>
    <mergeCell ref="E41:G41"/>
    <mergeCell ref="C203:D203"/>
    <mergeCell ref="E203:F203"/>
    <mergeCell ref="G203:H203"/>
    <mergeCell ref="B245:J245"/>
    <mergeCell ref="C206:D206"/>
    <mergeCell ref="C207:D207"/>
    <mergeCell ref="B216:F216"/>
    <mergeCell ref="B214:F214"/>
    <mergeCell ref="B215:F215"/>
    <mergeCell ref="A212:C212"/>
    <mergeCell ref="G205:H205"/>
    <mergeCell ref="G206:H206"/>
    <mergeCell ref="G207:H207"/>
    <mergeCell ref="G208:H208"/>
    <mergeCell ref="A236:C236"/>
    <mergeCell ref="H214:I214"/>
    <mergeCell ref="A225:C225"/>
    <mergeCell ref="H215:I215"/>
    <mergeCell ref="H216:I216"/>
    <mergeCell ref="B210:C210"/>
    <mergeCell ref="C208:D208"/>
    <mergeCell ref="C204:D204"/>
    <mergeCell ref="G204:H204"/>
    <mergeCell ref="B217:F217"/>
    <mergeCell ref="B246:J246"/>
    <mergeCell ref="B247:J247"/>
    <mergeCell ref="E193:F193"/>
    <mergeCell ref="E194:F194"/>
    <mergeCell ref="E195:F195"/>
    <mergeCell ref="E196:F196"/>
    <mergeCell ref="E204:F204"/>
    <mergeCell ref="E205:F205"/>
    <mergeCell ref="E206:F206"/>
    <mergeCell ref="E207:F207"/>
    <mergeCell ref="E208:F208"/>
    <mergeCell ref="C197:D197"/>
    <mergeCell ref="E197:F197"/>
    <mergeCell ref="G197:H197"/>
    <mergeCell ref="C198:D198"/>
    <mergeCell ref="E198:F198"/>
    <mergeCell ref="G198:H198"/>
    <mergeCell ref="C199:D199"/>
    <mergeCell ref="E199:F199"/>
    <mergeCell ref="G199:H199"/>
    <mergeCell ref="B240:J240"/>
    <mergeCell ref="B241:J241"/>
    <mergeCell ref="B242:J242"/>
    <mergeCell ref="C205:D205"/>
    <mergeCell ref="J251:L251"/>
    <mergeCell ref="J252:L252"/>
    <mergeCell ref="J253:L253"/>
    <mergeCell ref="J255:L255"/>
    <mergeCell ref="J263:L263"/>
    <mergeCell ref="J264:L264"/>
    <mergeCell ref="J254:L254"/>
    <mergeCell ref="J265:L265"/>
    <mergeCell ref="J266:L266"/>
    <mergeCell ref="J261:L261"/>
    <mergeCell ref="J262:L262"/>
    <mergeCell ref="J256:L256"/>
    <mergeCell ref="J257:L257"/>
    <mergeCell ref="J258:L258"/>
    <mergeCell ref="J259:L259"/>
    <mergeCell ref="J260:L260"/>
    <mergeCell ref="A1:M1"/>
    <mergeCell ref="H118:I118"/>
    <mergeCell ref="H119:I119"/>
    <mergeCell ref="H122:I122"/>
    <mergeCell ref="H2:I4"/>
    <mergeCell ref="A5:M7"/>
    <mergeCell ref="B11:E11"/>
    <mergeCell ref="B12:E12"/>
    <mergeCell ref="A23:M23"/>
    <mergeCell ref="A9:M9"/>
    <mergeCell ref="A27:C27"/>
    <mergeCell ref="B74:F74"/>
    <mergeCell ref="H74:I74"/>
    <mergeCell ref="H75:I75"/>
    <mergeCell ref="H76:I76"/>
    <mergeCell ref="B70:E70"/>
    <mergeCell ref="B114:C114"/>
    <mergeCell ref="A83:M83"/>
    <mergeCell ref="A116:C116"/>
    <mergeCell ref="A78:C78"/>
    <mergeCell ref="A72:C72"/>
    <mergeCell ref="B75:F75"/>
    <mergeCell ref="B76:F76"/>
    <mergeCell ref="B118:F118"/>
    <mergeCell ref="B177:I177"/>
    <mergeCell ref="F140:G140"/>
    <mergeCell ref="F141:G141"/>
    <mergeCell ref="F142:G142"/>
    <mergeCell ref="F150:G150"/>
    <mergeCell ref="A174:C174"/>
    <mergeCell ref="B178:I178"/>
    <mergeCell ref="B176:I176"/>
    <mergeCell ref="B180:I180"/>
    <mergeCell ref="B172:I172"/>
    <mergeCell ref="B179:I179"/>
    <mergeCell ref="B119:F119"/>
    <mergeCell ref="B122:F122"/>
    <mergeCell ref="B135:J136"/>
    <mergeCell ref="A170:M170"/>
    <mergeCell ref="A124:C124"/>
    <mergeCell ref="A133:C133"/>
    <mergeCell ref="B131:G131"/>
    <mergeCell ref="A129:M129"/>
    <mergeCell ref="B161:F161"/>
    <mergeCell ref="B162:F162"/>
    <mergeCell ref="B157:D157"/>
    <mergeCell ref="F151:G151"/>
    <mergeCell ref="F153:G153"/>
    <mergeCell ref="F154:G154"/>
    <mergeCell ref="H161:I161"/>
    <mergeCell ref="A165:C165"/>
    <mergeCell ref="B120:F120"/>
    <mergeCell ref="H120:I120"/>
    <mergeCell ref="B121:F121"/>
    <mergeCell ref="H121:I121"/>
    <mergeCell ref="A87:C87"/>
    <mergeCell ref="A281:M281"/>
    <mergeCell ref="A230:M230"/>
    <mergeCell ref="B232:J234"/>
    <mergeCell ref="A276:C276"/>
    <mergeCell ref="B268:C268"/>
    <mergeCell ref="A270:C270"/>
    <mergeCell ref="H274:I274"/>
    <mergeCell ref="H272:I272"/>
    <mergeCell ref="H273:I273"/>
    <mergeCell ref="B272:F272"/>
    <mergeCell ref="B273:F273"/>
    <mergeCell ref="B274:F274"/>
    <mergeCell ref="A159:C159"/>
    <mergeCell ref="B163:F163"/>
    <mergeCell ref="H162:I162"/>
    <mergeCell ref="H163:I163"/>
    <mergeCell ref="G193:H193"/>
    <mergeCell ref="G194:H194"/>
    <mergeCell ref="F144:G144"/>
    <mergeCell ref="F145:G145"/>
    <mergeCell ref="F147:G147"/>
    <mergeCell ref="F148:G148"/>
    <mergeCell ref="B243:J243"/>
    <mergeCell ref="B186:I186"/>
    <mergeCell ref="B185:I185"/>
    <mergeCell ref="B182:I182"/>
    <mergeCell ref="B183:I183"/>
    <mergeCell ref="B184:I184"/>
    <mergeCell ref="C202:D202"/>
    <mergeCell ref="E202:F202"/>
    <mergeCell ref="C194:D194"/>
    <mergeCell ref="E200:F200"/>
    <mergeCell ref="G200:H200"/>
    <mergeCell ref="C201:D201"/>
    <mergeCell ref="E201:F201"/>
    <mergeCell ref="C200:D200"/>
    <mergeCell ref="G201:H201"/>
    <mergeCell ref="B191:C191"/>
    <mergeCell ref="D191:E191"/>
    <mergeCell ref="C193:D193"/>
    <mergeCell ref="C195:D195"/>
    <mergeCell ref="G195:H195"/>
    <mergeCell ref="C196:D196"/>
    <mergeCell ref="G196:H196"/>
    <mergeCell ref="G202:H202"/>
    <mergeCell ref="H217:I217"/>
    <mergeCell ref="B220:F220"/>
    <mergeCell ref="H220:I220"/>
    <mergeCell ref="B223:F223"/>
    <mergeCell ref="H223:I223"/>
    <mergeCell ref="B218:F218"/>
    <mergeCell ref="H218:I218"/>
    <mergeCell ref="B222:F222"/>
    <mergeCell ref="H222:I222"/>
    <mergeCell ref="B221:F221"/>
    <mergeCell ref="H221:I221"/>
  </mergeCells>
  <conditionalFormatting sqref="B162:B163">
    <cfRule type="expression" dxfId="258" priority="82">
      <formula>#REF!&lt;&gt;"Prescriptive Path"</formula>
    </cfRule>
  </conditionalFormatting>
  <conditionalFormatting sqref="G273:G274">
    <cfRule type="expression" dxfId="257" priority="57">
      <formula>$B273="/"</formula>
    </cfRule>
    <cfRule type="expression" dxfId="256" priority="58">
      <formula>$B273="No evidence required at this submission stage"</formula>
    </cfRule>
  </conditionalFormatting>
  <conditionalFormatting sqref="G215:G216">
    <cfRule type="expression" dxfId="255" priority="69">
      <formula>$B215="/"</formula>
    </cfRule>
    <cfRule type="expression" dxfId="254" priority="70">
      <formula>$B215="No evidence required at this submission stage"</formula>
    </cfRule>
  </conditionalFormatting>
  <conditionalFormatting sqref="G119">
    <cfRule type="expression" dxfId="253" priority="65">
      <formula>$B119="/"</formula>
    </cfRule>
    <cfRule type="expression" dxfId="252" priority="66">
      <formula>$B119="No evidence required at this submission stage"</formula>
    </cfRule>
  </conditionalFormatting>
  <conditionalFormatting sqref="B215:B216 B273:B274 B75 B119">
    <cfRule type="expression" dxfId="251" priority="60">
      <formula>#REF!&lt;&gt;"Prescriptive Path"</formula>
    </cfRule>
  </conditionalFormatting>
  <conditionalFormatting sqref="G75:I76">
    <cfRule type="expression" dxfId="250" priority="61">
      <formula>$B75="/"</formula>
    </cfRule>
    <cfRule type="expression" dxfId="249" priority="62">
      <formula>$B75="No evidence required at this submission stage"</formula>
    </cfRule>
  </conditionalFormatting>
  <conditionalFormatting sqref="G162:I163">
    <cfRule type="expression" dxfId="248" priority="83">
      <formula>$B162="/"</formula>
    </cfRule>
    <cfRule type="expression" dxfId="247" priority="84">
      <formula>$B162="No evidence required at this submission stage"</formula>
    </cfRule>
  </conditionalFormatting>
  <conditionalFormatting sqref="H215:I216">
    <cfRule type="expression" dxfId="246" priority="47">
      <formula>$B215="/"</formula>
    </cfRule>
    <cfRule type="expression" dxfId="245" priority="48">
      <formula>$B215="No evidence required at this submission stage"</formula>
    </cfRule>
  </conditionalFormatting>
  <conditionalFormatting sqref="H273:I274">
    <cfRule type="expression" dxfId="244" priority="45">
      <formula>$B273="/"</formula>
    </cfRule>
    <cfRule type="expression" dxfId="243" priority="46">
      <formula>$B273="No evidence required at this submission stage"</formula>
    </cfRule>
  </conditionalFormatting>
  <conditionalFormatting sqref="G119:I119 H122:I122">
    <cfRule type="expression" dxfId="242" priority="40">
      <formula>$B119="/"</formula>
    </cfRule>
    <cfRule type="expression" dxfId="241" priority="41">
      <formula>$B119="No evidence required at this submission stage"</formula>
    </cfRule>
  </conditionalFormatting>
  <conditionalFormatting sqref="B76">
    <cfRule type="expression" dxfId="240" priority="39">
      <formula>#REF!&lt;&gt;"Prescriptive Path"</formula>
    </cfRule>
  </conditionalFormatting>
  <conditionalFormatting sqref="B122">
    <cfRule type="expression" dxfId="239" priority="38">
      <formula>#REF!&lt;&gt;"Prescriptive Path"</formula>
    </cfRule>
  </conditionalFormatting>
  <conditionalFormatting sqref="G120">
    <cfRule type="expression" dxfId="238" priority="36">
      <formula>$B120="/"</formula>
    </cfRule>
    <cfRule type="expression" dxfId="237" priority="37">
      <formula>$B120="No evidence required at this submission stage"</formula>
    </cfRule>
  </conditionalFormatting>
  <conditionalFormatting sqref="B120">
    <cfRule type="expression" dxfId="236" priority="35">
      <formula>#REF!&lt;&gt;"Prescriptive Path"</formula>
    </cfRule>
  </conditionalFormatting>
  <conditionalFormatting sqref="G120:I120">
    <cfRule type="expression" dxfId="235" priority="33">
      <formula>$B120="/"</formula>
    </cfRule>
    <cfRule type="expression" dxfId="234" priority="34">
      <formula>$B120="No evidence required at this submission stage"</formula>
    </cfRule>
  </conditionalFormatting>
  <conditionalFormatting sqref="G121">
    <cfRule type="expression" dxfId="233" priority="31">
      <formula>$B121="/"</formula>
    </cfRule>
    <cfRule type="expression" dxfId="232" priority="32">
      <formula>$B121="No evidence required at this submission stage"</formula>
    </cfRule>
  </conditionalFormatting>
  <conditionalFormatting sqref="B121">
    <cfRule type="expression" dxfId="231" priority="30">
      <formula>#REF!&lt;&gt;"Prescriptive Path"</formula>
    </cfRule>
  </conditionalFormatting>
  <conditionalFormatting sqref="G121:I121">
    <cfRule type="expression" dxfId="230" priority="28">
      <formula>$B121="/"</formula>
    </cfRule>
    <cfRule type="expression" dxfId="229" priority="29">
      <formula>$B121="No evidence required at this submission stage"</formula>
    </cfRule>
  </conditionalFormatting>
  <conditionalFormatting sqref="G122">
    <cfRule type="expression" dxfId="228" priority="26">
      <formula>$B122="/"</formula>
    </cfRule>
    <cfRule type="expression" dxfId="227" priority="27">
      <formula>$B122="No evidence required at this submission stage"</formula>
    </cfRule>
  </conditionalFormatting>
  <conditionalFormatting sqref="G217">
    <cfRule type="expression" dxfId="226" priority="24">
      <formula>$B217="/"</formula>
    </cfRule>
    <cfRule type="expression" dxfId="225" priority="25">
      <formula>$B217="No evidence required at this submission stage"</formula>
    </cfRule>
  </conditionalFormatting>
  <conditionalFormatting sqref="B217">
    <cfRule type="expression" dxfId="224" priority="23">
      <formula>#REF!&lt;&gt;"Prescriptive Path"</formula>
    </cfRule>
  </conditionalFormatting>
  <conditionalFormatting sqref="H217:I217">
    <cfRule type="expression" dxfId="223" priority="21">
      <formula>$B217="/"</formula>
    </cfRule>
    <cfRule type="expression" dxfId="222" priority="22">
      <formula>$B217="No evidence required at this submission stage"</formula>
    </cfRule>
  </conditionalFormatting>
  <conditionalFormatting sqref="G223">
    <cfRule type="expression" dxfId="221" priority="19">
      <formula>$B223="/"</formula>
    </cfRule>
    <cfRule type="expression" dxfId="220" priority="20">
      <formula>$B223="No evidence required at this submission stage"</formula>
    </cfRule>
  </conditionalFormatting>
  <conditionalFormatting sqref="B223">
    <cfRule type="expression" dxfId="219" priority="18">
      <formula>#REF!&lt;&gt;"Prescriptive Path"</formula>
    </cfRule>
  </conditionalFormatting>
  <conditionalFormatting sqref="H223:I223">
    <cfRule type="expression" dxfId="218" priority="16">
      <formula>$B223="/"</formula>
    </cfRule>
    <cfRule type="expression" dxfId="217" priority="17">
      <formula>$B223="No evidence required at this submission stage"</formula>
    </cfRule>
  </conditionalFormatting>
  <conditionalFormatting sqref="G218">
    <cfRule type="expression" dxfId="216" priority="14">
      <formula>$B218="/"</formula>
    </cfRule>
    <cfRule type="expression" dxfId="215" priority="15">
      <formula>$B218="No evidence required at this submission stage"</formula>
    </cfRule>
  </conditionalFormatting>
  <conditionalFormatting sqref="B218">
    <cfRule type="expression" dxfId="214" priority="13">
      <formula>#REF!&lt;&gt;"Prescriptive Path"</formula>
    </cfRule>
  </conditionalFormatting>
  <conditionalFormatting sqref="H218:I218">
    <cfRule type="expression" dxfId="213" priority="11">
      <formula>$B218="/"</formula>
    </cfRule>
    <cfRule type="expression" dxfId="212" priority="12">
      <formula>$B218="No evidence required at this submission stage"</formula>
    </cfRule>
  </conditionalFormatting>
  <conditionalFormatting sqref="G222">
    <cfRule type="expression" dxfId="211" priority="9">
      <formula>$B222="/"</formula>
    </cfRule>
    <cfRule type="expression" dxfId="210" priority="10">
      <formula>$B222="No evidence required at this submission stage"</formula>
    </cfRule>
  </conditionalFormatting>
  <conditionalFormatting sqref="B222">
    <cfRule type="expression" dxfId="209" priority="8">
      <formula>#REF!&lt;&gt;"Prescriptive Path"</formula>
    </cfRule>
  </conditionalFormatting>
  <conditionalFormatting sqref="H222:I222">
    <cfRule type="expression" dxfId="208" priority="6">
      <formula>$B222="/"</formula>
    </cfRule>
    <cfRule type="expression" dxfId="207" priority="7">
      <formula>$B222="No evidence required at this submission stage"</formula>
    </cfRule>
  </conditionalFormatting>
  <conditionalFormatting sqref="G221">
    <cfRule type="expression" dxfId="206" priority="4">
      <formula>$B221="/"</formula>
    </cfRule>
    <cfRule type="expression" dxfId="205" priority="5">
      <formula>$B221="No evidence required at this submission stage"</formula>
    </cfRule>
  </conditionalFormatting>
  <conditionalFormatting sqref="B221">
    <cfRule type="expression" dxfId="204" priority="3">
      <formula>#REF!&lt;&gt;"Prescriptive Path"</formula>
    </cfRule>
  </conditionalFormatting>
  <conditionalFormatting sqref="H221:I221">
    <cfRule type="expression" dxfId="203" priority="1">
      <formula>$B221="/"</formula>
    </cfRule>
    <cfRule type="expression" dxfId="202" priority="2">
      <formula>$B221="No evidence required at this submission stage"</formula>
    </cfRule>
  </conditionalFormatting>
  <dataValidations xWindow="559" yWindow="569" count="21">
    <dataValidation type="list" allowBlank="1" showInputMessage="1" showErrorMessage="1" sqref="D264 H252:H266 D266">
      <formula1>"Select,Yes,No"</formula1>
    </dataValidation>
    <dataValidation type="list" allowBlank="1" showInputMessage="1" showErrorMessage="1" sqref="G273:G274 G119:G121 G162:G163 G75:G76 G221:G223 G215:G218">
      <formula1>"Select,Submitted,Not submitted"</formula1>
    </dataValidation>
    <dataValidation allowBlank="1" showInputMessage="1" showErrorMessage="1" prompt="Describe the type of lighting control/system provided." sqref="J252:J266 E252:E266"/>
    <dataValidation type="list" allowBlank="1" showInputMessage="1" showErrorMessage="1" sqref="D252:D263 D265">
      <formula1>"Select,two component lighting system,individual desk lamp, dimmable lighting,No"</formula1>
    </dataValidation>
    <dataValidation allowBlank="1" showInputMessage="1" showErrorMessage="1" prompt="Are excluded from the calculations all the light sources with a CRI lower than 80 when:_x000a_- they are located in areas where the activity is not impeded by a lower CRI_x000a_- they are designed to provide colored lighting for effect or other special use" sqref="E140"/>
    <dataValidation type="list" allowBlank="1" showInputMessage="1" showErrorMessage="1" prompt="Are excluded from the calculations all the light sources with a CRI lower than 80 when:_x000a_- they are located in areas where the activity is not impeded by a lower CRI_x000a_- they are designed to provide colored lighting for effect or other special use" sqref="E141:E155">
      <formula1>"Select,no,activity not impeded, colored lighting for effect,other special use"</formula1>
    </dataValidation>
    <dataValidation allowBlank="1" showInputMessage="1" showErrorMessage="1" prompt="For exceptions, explain:_x000a_- why the activity is not impeded by lower CRI _x000a_OR_x000a_- what is the use of the light sources" sqref="F140:G155"/>
    <dataValidation type="list" allowBlank="1" showInputMessage="1" showErrorMessage="1" sqref="D191:E191">
      <formula1>"Select,Prescriptive approach,Unified Glare Rating approach"</formula1>
    </dataValidation>
    <dataValidation allowBlank="1" showInputMessage="1" showErrorMessage="1" prompt="For the prescriptive approach, enter the name of the lighting fixture._x000a_For the UGR approach, enter the room name._x000a_" sqref="B194:B208"/>
    <dataValidation type="decimal" operator="greaterThan" allowBlank="1" showInputMessage="1" showErrorMessage="1" sqref="C253:C266">
      <formula1>0</formula1>
    </dataValidation>
    <dataValidation type="decimal" operator="greaterThan" showInputMessage="1" showErrorMessage="1" sqref="C252">
      <formula1>0</formula1>
    </dataValidation>
    <dataValidation type="list" allowBlank="1" showInputMessage="1" showErrorMessage="1" prompt="Select 'N/A' when the space doesn't have any presentation or projection wall." sqref="I252:I266">
      <formula1>"Select,Yes,No,N/A"</formula1>
    </dataValidation>
    <dataValidation type="list" allowBlank="1" showInputMessage="1" showErrorMessage="1" sqref="C194:D208">
      <formula1>$R$194:$W$194</formula1>
    </dataValidation>
    <dataValidation allowBlank="1" showInputMessage="1" showErrorMessage="1" prompt="Precriptive approach: Information on the light fixtures installed in the room_x000a__x000a_UGR approach: internationally recognized standard followed? Visual task to be performed? UGR value obtained by which method?" sqref="G194:H208"/>
    <dataValidation allowBlank="1" showInputMessage="1" showErrorMessage="1" prompt="Example: _x000a_Fixtures: 2 T5 fluorescent tubes that emit 800 lumens, 1 desk halogen lamp that emits 600 lumens_x000a_Write information as follows:_x000a_&quot;2 T5 - 800 lm_x000a_1 halogen - 600 lm&quot;" sqref="G49:G68"/>
    <dataValidation type="list" allowBlank="1" showInputMessage="1" showErrorMessage="1" prompt="Select the lighting purpose as defined in Table H.1 above" sqref="C49:C68">
      <formula1>"Select,lighting purpose 1, lighting purpose 2, lighting purpose 3"</formula1>
    </dataValidation>
    <dataValidation type="list" allowBlank="1" showInputMessage="1" showErrorMessage="1" prompt="Select the application as defined in Table H.1 above" sqref="D49:D68">
      <formula1>$P49:$U49</formula1>
    </dataValidation>
    <dataValidation allowBlank="1" showInputMessage="1" showErrorMessage="1" prompt="As defined in Table H.1 above" sqref="C48:D48"/>
    <dataValidation allowBlank="1" showInputMessage="1" showErrorMessage="1" prompt="Calculated based on minimum illuminance level required and area of the space" sqref="F48:F68"/>
    <dataValidation allowBlank="1" showInputMessage="1" showErrorMessage="1" prompt="Based on which recommendations?" sqref="H97:I112"/>
    <dataValidation type="list" allowBlank="1" showInputMessage="1" showErrorMessage="1" sqref="G122">
      <formula1>Sub_FC</formula1>
    </dataValidation>
  </dataValidations>
  <hyperlinks>
    <hyperlink ref="J4" location="'H-2 CO2 Monitoring'!B3" tooltip="H-2" display="H-2"/>
    <hyperlink ref="J3" location="'H-1 Fresh Air Supply'!B3" tooltip="H-1" display="H-1"/>
    <hyperlink ref="J2" location="'H-PR-1 Indoor Smoking'!B3" tooltip="H-PR-1" display="H-PR-1"/>
    <hyperlink ref="M4" location="'H-12 Post-occupancy Comfort'!B3" tooltip="H-12" display="H-12"/>
    <hyperlink ref="K3" location="'H-4 Removal of pollutants'!B3" tooltip="H-4" display="H-4"/>
    <hyperlink ref="L4" location="'H-8 External Views'!B3" tooltip="H-8" display="H-8"/>
    <hyperlink ref="M2" location="'H-10 Thermal Comfort'!B3" tooltip="H-10" display="H-10"/>
    <hyperlink ref="L3" location="'H-7 Daylighting'!B3" tooltip="H-7" display="H-7"/>
    <hyperlink ref="L2" location="'H-6 Green Cleaning'!B3" tooltip="H-6" display="H-6"/>
    <hyperlink ref="K4" location="'H-5 Interior Plants'!B3" tooltip="H-5" display="H-5"/>
    <hyperlink ref="K2" location="'H-3 Low-VOC Emissions '!D3" tooltip="H-3" display="H-3"/>
    <hyperlink ref="M3" location="'H-11 Acoustic Comfort'!B3" tooltip="H-11" display="H-11"/>
  </hyperlinks>
  <pageMargins left="0.7" right="0.7" top="0.75" bottom="0.75" header="0.3" footer="0.3"/>
  <pageSetup orientation="portrait" verticalDpi="1200"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43634"/>
  </sheetPr>
  <dimension ref="A1:T253"/>
  <sheetViews>
    <sheetView showGridLines="0" showRowColHeaders="0" zoomScaleNormal="100" workbookViewId="0">
      <pane ySplit="8" topLeftCell="A171" activePane="bottomLeft" state="frozen"/>
      <selection pane="bottomLeft" activeCell="M3" sqref="M3"/>
    </sheetView>
  </sheetViews>
  <sheetFormatPr defaultColWidth="0" defaultRowHeight="15" customHeight="1" zeroHeight="1" x14ac:dyDescent="0.25"/>
  <cols>
    <col min="1" max="1" width="4.5703125" style="37" customWidth="1"/>
    <col min="2" max="2" width="18.7109375" style="37" customWidth="1"/>
    <col min="3" max="3" width="19" style="37" customWidth="1"/>
    <col min="4" max="6" width="18.42578125" style="37" customWidth="1"/>
    <col min="7" max="7" width="22" style="37" customWidth="1"/>
    <col min="8" max="8" width="22.5703125" style="37" customWidth="1"/>
    <col min="9" max="9" width="16.85546875" style="37" customWidth="1"/>
    <col min="10" max="10" width="8.28515625" style="37" customWidth="1"/>
    <col min="11" max="13" width="8.140625" style="37" customWidth="1"/>
    <col min="14" max="20" width="0" style="37" hidden="1" customWidth="1"/>
    <col min="21" max="16384" width="9.140625" style="37" hidden="1"/>
  </cols>
  <sheetData>
    <row r="1" spans="1:14" ht="23.25" x14ac:dyDescent="0.25">
      <c r="A1" s="2104" t="s">
        <v>508</v>
      </c>
      <c r="B1" s="2104"/>
      <c r="C1" s="2104"/>
      <c r="D1" s="2104"/>
      <c r="E1" s="2104"/>
      <c r="F1" s="2104"/>
      <c r="G1" s="2104"/>
      <c r="H1" s="2104"/>
      <c r="I1" s="2104"/>
      <c r="J1" s="2104"/>
      <c r="K1" s="2104"/>
      <c r="L1" s="2104"/>
      <c r="M1" s="2104"/>
    </row>
    <row r="2" spans="1:14" ht="15" customHeight="1" x14ac:dyDescent="0.25">
      <c r="A2" s="48"/>
      <c r="B2" s="49"/>
      <c r="C2" s="49"/>
      <c r="D2" s="49"/>
      <c r="E2" s="49"/>
      <c r="F2" s="48"/>
      <c r="G2" s="48"/>
      <c r="H2" s="1694" t="s">
        <v>1702</v>
      </c>
      <c r="I2" s="1694"/>
      <c r="J2" s="752" t="s">
        <v>340</v>
      </c>
      <c r="K2" s="752" t="s">
        <v>35</v>
      </c>
      <c r="L2" s="752" t="s">
        <v>313</v>
      </c>
      <c r="M2" s="752" t="s">
        <v>316</v>
      </c>
    </row>
    <row r="3" spans="1:14" ht="15" customHeight="1" x14ac:dyDescent="0.25">
      <c r="A3" s="48"/>
      <c r="B3" s="49"/>
      <c r="C3" s="49"/>
      <c r="D3" s="49"/>
      <c r="E3" s="49"/>
      <c r="F3" s="48"/>
      <c r="G3" s="48"/>
      <c r="H3" s="1694"/>
      <c r="I3" s="1694"/>
      <c r="J3" s="752" t="s">
        <v>30</v>
      </c>
      <c r="K3" s="752" t="s">
        <v>37</v>
      </c>
      <c r="L3" s="752" t="s">
        <v>314</v>
      </c>
      <c r="M3" s="752" t="s">
        <v>318</v>
      </c>
    </row>
    <row r="4" spans="1:14" ht="15" customHeight="1" x14ac:dyDescent="0.25">
      <c r="A4" s="48"/>
      <c r="B4" s="49"/>
      <c r="C4" s="49"/>
      <c r="D4" s="49"/>
      <c r="E4" s="49"/>
      <c r="F4" s="48"/>
      <c r="G4" s="48"/>
      <c r="H4" s="1695"/>
      <c r="I4" s="1695"/>
      <c r="J4" s="752" t="s">
        <v>32</v>
      </c>
      <c r="K4" s="752" t="s">
        <v>248</v>
      </c>
      <c r="L4" s="752" t="s">
        <v>315</v>
      </c>
      <c r="M4" s="752" t="s">
        <v>319</v>
      </c>
    </row>
    <row r="5" spans="1:14" ht="21" customHeight="1" x14ac:dyDescent="0.25">
      <c r="A5" s="1704" t="s">
        <v>2841</v>
      </c>
      <c r="B5" s="1705"/>
      <c r="C5" s="1705"/>
      <c r="D5" s="1705"/>
      <c r="E5" s="1705"/>
      <c r="F5" s="1705"/>
      <c r="G5" s="1705"/>
      <c r="H5" s="1705"/>
      <c r="I5" s="1705"/>
      <c r="J5" s="1705"/>
      <c r="K5" s="1705"/>
      <c r="L5" s="1705"/>
      <c r="M5" s="1706"/>
    </row>
    <row r="6" spans="1:14" ht="21" customHeight="1" x14ac:dyDescent="0.25">
      <c r="A6" s="1707"/>
      <c r="B6" s="1708"/>
      <c r="C6" s="1708"/>
      <c r="D6" s="1708"/>
      <c r="E6" s="1708"/>
      <c r="F6" s="1708"/>
      <c r="G6" s="1708"/>
      <c r="H6" s="1708"/>
      <c r="I6" s="1708"/>
      <c r="J6" s="1708"/>
      <c r="K6" s="1708"/>
      <c r="L6" s="1708"/>
      <c r="M6" s="1709"/>
    </row>
    <row r="7" spans="1:14" ht="21" customHeight="1" x14ac:dyDescent="0.25">
      <c r="A7" s="1710"/>
      <c r="B7" s="1711"/>
      <c r="C7" s="1711"/>
      <c r="D7" s="1711"/>
      <c r="E7" s="1711"/>
      <c r="F7" s="1711"/>
      <c r="G7" s="1711"/>
      <c r="H7" s="1711"/>
      <c r="I7" s="1711"/>
      <c r="J7" s="1711"/>
      <c r="K7" s="1711"/>
      <c r="L7" s="1711"/>
      <c r="M7" s="1712"/>
    </row>
    <row r="8" spans="1:14" ht="12" customHeight="1" x14ac:dyDescent="0.25">
      <c r="A8" s="48"/>
      <c r="B8" s="49"/>
      <c r="C8" s="49"/>
      <c r="D8" s="49"/>
      <c r="E8" s="49"/>
      <c r="F8" s="48"/>
      <c r="G8" s="48"/>
      <c r="H8" s="48"/>
      <c r="I8" s="48"/>
      <c r="J8" s="48"/>
      <c r="K8" s="48"/>
      <c r="L8" s="48"/>
      <c r="M8" s="48"/>
    </row>
    <row r="9" spans="1:14" ht="18" customHeight="1" x14ac:dyDescent="0.25">
      <c r="A9" s="2092" t="s">
        <v>95</v>
      </c>
      <c r="B9" s="2092"/>
      <c r="C9" s="2092"/>
      <c r="D9" s="2092"/>
      <c r="E9" s="2092"/>
      <c r="F9" s="2092"/>
      <c r="G9" s="2092"/>
      <c r="H9" s="2092"/>
      <c r="I9" s="2092"/>
      <c r="J9" s="2092"/>
      <c r="K9" s="2092"/>
      <c r="L9" s="2092"/>
      <c r="M9" s="2092"/>
    </row>
    <row r="10" spans="1:14" x14ac:dyDescent="0.25">
      <c r="A10" s="48"/>
      <c r="B10" s="49"/>
      <c r="C10" s="49"/>
      <c r="D10" s="49"/>
      <c r="E10" s="49"/>
      <c r="F10" s="48"/>
      <c r="G10" s="48"/>
      <c r="H10" s="48"/>
      <c r="I10" s="48"/>
      <c r="J10" s="48"/>
      <c r="K10" s="48"/>
      <c r="L10" s="48"/>
      <c r="M10" s="48"/>
    </row>
    <row r="11" spans="1:14" ht="21" customHeight="1" x14ac:dyDescent="0.25">
      <c r="A11" s="48"/>
      <c r="B11" s="2273" t="s">
        <v>96</v>
      </c>
      <c r="C11" s="2274"/>
      <c r="D11" s="2274"/>
      <c r="E11" s="2274"/>
      <c r="F11" s="677" t="s">
        <v>75</v>
      </c>
      <c r="G11" s="677" t="s">
        <v>19</v>
      </c>
      <c r="H11" s="50" t="s">
        <v>151</v>
      </c>
      <c r="I11" s="48"/>
      <c r="J11" s="48"/>
      <c r="K11" s="48"/>
      <c r="L11" s="48"/>
      <c r="M11" s="48"/>
    </row>
    <row r="12" spans="1:14" ht="38.25" customHeight="1" x14ac:dyDescent="0.25">
      <c r="A12" s="48"/>
      <c r="B12" s="2270" t="s">
        <v>562</v>
      </c>
      <c r="C12" s="2271"/>
      <c r="D12" s="2271"/>
      <c r="E12" s="2272"/>
      <c r="F12" s="320">
        <v>2</v>
      </c>
      <c r="G12" s="320">
        <f>C128</f>
        <v>0</v>
      </c>
      <c r="H12" s="320" t="str">
        <f>C129</f>
        <v>No</v>
      </c>
      <c r="I12" s="48"/>
      <c r="J12" s="48"/>
      <c r="K12" s="48"/>
      <c r="L12" s="48"/>
      <c r="M12" s="48"/>
      <c r="N12" s="37" t="str">
        <f t="shared" ref="N12:N13" si="0">IF(G12&lt;&gt;0,IF(H12="No","No","Yes"),"Yes")</f>
        <v>Yes</v>
      </c>
    </row>
    <row r="13" spans="1:14" ht="67.5" customHeight="1" x14ac:dyDescent="0.25">
      <c r="A13" s="48"/>
      <c r="B13" s="2270" t="s">
        <v>1652</v>
      </c>
      <c r="C13" s="2271"/>
      <c r="D13" s="2271"/>
      <c r="E13" s="2272"/>
      <c r="F13" s="320">
        <v>1</v>
      </c>
      <c r="G13" s="320">
        <f>C168</f>
        <v>0</v>
      </c>
      <c r="H13" s="320" t="str">
        <f>C169</f>
        <v>No</v>
      </c>
      <c r="I13" s="48"/>
      <c r="J13" s="48"/>
      <c r="K13" s="48"/>
      <c r="L13" s="48"/>
      <c r="M13" s="48"/>
      <c r="N13" s="37" t="str">
        <f t="shared" si="0"/>
        <v>Yes</v>
      </c>
    </row>
    <row r="14" spans="1:14" ht="90.75" customHeight="1" x14ac:dyDescent="0.25">
      <c r="A14" s="48"/>
      <c r="B14" s="2270" t="s">
        <v>1659</v>
      </c>
      <c r="C14" s="2271"/>
      <c r="D14" s="2271"/>
      <c r="E14" s="2272"/>
      <c r="F14" s="320">
        <v>1</v>
      </c>
      <c r="G14" s="320">
        <f>C215</f>
        <v>0</v>
      </c>
      <c r="H14" s="320" t="str">
        <f>C216</f>
        <v>No</v>
      </c>
      <c r="I14" s="48"/>
      <c r="J14" s="48"/>
      <c r="K14" s="48"/>
      <c r="L14" s="48"/>
      <c r="M14" s="48"/>
      <c r="N14" s="37" t="str">
        <f>IF(G14&lt;&gt;0,IF(H14="No","No","Yes"),"Yes")</f>
        <v>Yes</v>
      </c>
    </row>
    <row r="15" spans="1:14" ht="18" customHeight="1" x14ac:dyDescent="0.25">
      <c r="A15" s="48"/>
      <c r="B15" s="2275" t="s">
        <v>29</v>
      </c>
      <c r="C15" s="2276"/>
      <c r="D15" s="2276"/>
      <c r="E15" s="2277"/>
      <c r="F15" s="612">
        <v>2</v>
      </c>
      <c r="G15" s="612">
        <f>MIN(2,G12+G13+G14)</f>
        <v>0</v>
      </c>
      <c r="H15" s="612" t="str">
        <f>IF(COUNTIF(H12:H14,"No")=3,"No",IF(COUNTIF(N12:N14,"Yes")=3,"Yes","No"))</f>
        <v>No</v>
      </c>
      <c r="I15" s="48"/>
      <c r="J15" s="48"/>
      <c r="K15" s="48"/>
      <c r="L15" s="48"/>
      <c r="M15" s="48"/>
    </row>
    <row r="16" spans="1:14" ht="18.75" customHeight="1" x14ac:dyDescent="0.25">
      <c r="A16" s="48"/>
      <c r="B16" s="49"/>
      <c r="C16" s="49"/>
      <c r="D16" s="49"/>
      <c r="E16" s="49"/>
      <c r="F16" s="48"/>
      <c r="G16" s="48"/>
      <c r="H16" s="48"/>
      <c r="I16" s="48"/>
      <c r="J16" s="48"/>
      <c r="K16" s="48"/>
      <c r="L16" s="48"/>
      <c r="M16" s="48"/>
    </row>
    <row r="17" spans="1:14" ht="18" customHeight="1" x14ac:dyDescent="0.25">
      <c r="A17" s="2092" t="s">
        <v>1148</v>
      </c>
      <c r="B17" s="2092"/>
      <c r="C17" s="2092"/>
      <c r="D17" s="2092"/>
      <c r="E17" s="2092"/>
      <c r="F17" s="2092"/>
      <c r="G17" s="2092"/>
      <c r="H17" s="2092"/>
      <c r="I17" s="2092"/>
      <c r="J17" s="2092"/>
      <c r="K17" s="2092"/>
      <c r="L17" s="2092"/>
      <c r="M17" s="2092"/>
    </row>
    <row r="18" spans="1:14" x14ac:dyDescent="0.25">
      <c r="A18" s="48"/>
      <c r="B18" s="48"/>
      <c r="C18" s="48"/>
      <c r="D18" s="48"/>
      <c r="E18" s="48"/>
      <c r="F18" s="48"/>
      <c r="G18" s="48"/>
      <c r="H18" s="48"/>
      <c r="I18" s="48"/>
      <c r="J18" s="48"/>
      <c r="K18" s="48"/>
      <c r="L18" s="48"/>
      <c r="M18" s="48"/>
      <c r="N18" s="48"/>
    </row>
    <row r="19" spans="1:14" x14ac:dyDescent="0.25">
      <c r="A19" s="48"/>
      <c r="B19" s="1148" t="s">
        <v>1742</v>
      </c>
      <c r="C19" s="49"/>
      <c r="D19" s="49"/>
      <c r="E19" s="49"/>
      <c r="F19" s="49"/>
      <c r="G19" s="49"/>
      <c r="H19" s="49"/>
      <c r="I19" s="49"/>
      <c r="J19" s="49"/>
      <c r="K19" s="49"/>
      <c r="L19" s="49"/>
      <c r="M19" s="48"/>
      <c r="N19" s="48"/>
    </row>
    <row r="20" spans="1:14" x14ac:dyDescent="0.25">
      <c r="A20" s="49"/>
      <c r="B20" s="669"/>
      <c r="C20" s="49"/>
      <c r="D20" s="49"/>
      <c r="E20" s="49"/>
      <c r="F20" s="49"/>
      <c r="G20" s="49"/>
      <c r="H20" s="49"/>
      <c r="I20" s="49"/>
      <c r="J20" s="49"/>
      <c r="K20" s="49"/>
      <c r="L20" s="49"/>
      <c r="M20" s="49"/>
      <c r="N20" s="48"/>
    </row>
    <row r="21" spans="1:14" ht="17.25" customHeight="1" x14ac:dyDescent="0.25">
      <c r="A21" s="2115" t="s">
        <v>117</v>
      </c>
      <c r="B21" s="2115"/>
      <c r="C21" s="2115"/>
      <c r="D21" s="49"/>
      <c r="E21" s="49"/>
      <c r="F21" s="49"/>
      <c r="G21" s="49"/>
      <c r="H21" s="49"/>
      <c r="I21" s="49"/>
      <c r="J21" s="49"/>
      <c r="K21" s="49"/>
      <c r="L21" s="49"/>
      <c r="M21" s="49"/>
      <c r="N21" s="49"/>
    </row>
    <row r="22" spans="1:14" x14ac:dyDescent="0.25">
      <c r="A22" s="48"/>
      <c r="B22" s="48"/>
      <c r="C22" s="48"/>
      <c r="D22" s="48"/>
      <c r="E22" s="48"/>
      <c r="F22" s="48"/>
      <c r="G22" s="48"/>
      <c r="H22" s="48"/>
      <c r="I22" s="48"/>
      <c r="J22" s="48"/>
      <c r="K22" s="48"/>
      <c r="L22" s="48"/>
      <c r="M22" s="48"/>
      <c r="N22" s="48"/>
    </row>
    <row r="23" spans="1:14" x14ac:dyDescent="0.25">
      <c r="A23" s="48"/>
      <c r="B23" s="1900" t="s">
        <v>1834</v>
      </c>
      <c r="C23" s="1900"/>
      <c r="D23" s="1900"/>
      <c r="E23" s="1900"/>
      <c r="F23" s="1900"/>
      <c r="G23" s="1900"/>
      <c r="H23" s="1900"/>
      <c r="I23" s="48"/>
      <c r="J23" s="48"/>
      <c r="K23" s="48"/>
      <c r="L23" s="48"/>
      <c r="M23" s="48"/>
      <c r="N23" s="48"/>
    </row>
    <row r="24" spans="1:14" ht="12" customHeight="1" x14ac:dyDescent="0.25">
      <c r="A24" s="48"/>
      <c r="B24" s="49"/>
      <c r="C24" s="49"/>
      <c r="D24" s="49"/>
      <c r="E24" s="49"/>
      <c r="F24" s="48"/>
      <c r="G24" s="48"/>
      <c r="H24" s="48"/>
      <c r="I24" s="48"/>
      <c r="J24" s="48"/>
      <c r="K24" s="48"/>
      <c r="L24" s="48"/>
      <c r="M24" s="48"/>
      <c r="N24" s="48"/>
    </row>
    <row r="25" spans="1:14" ht="25.5" x14ac:dyDescent="0.25">
      <c r="A25" s="48"/>
      <c r="B25" s="2093" t="s">
        <v>2681</v>
      </c>
      <c r="C25" s="2094"/>
      <c r="D25" s="1031" t="s">
        <v>1833</v>
      </c>
      <c r="E25" s="49"/>
      <c r="F25" s="48"/>
      <c r="G25" s="48"/>
      <c r="H25" s="48"/>
      <c r="I25" s="48"/>
      <c r="J25" s="48"/>
      <c r="K25" s="48"/>
      <c r="L25" s="48"/>
      <c r="M25" s="48"/>
      <c r="N25" s="48"/>
    </row>
    <row r="26" spans="1:14" ht="17.25" customHeight="1" x14ac:dyDescent="0.25">
      <c r="A26" s="48"/>
      <c r="B26" s="1644" t="s">
        <v>1940</v>
      </c>
      <c r="C26" s="1646"/>
      <c r="D26" s="1025" t="s">
        <v>62</v>
      </c>
      <c r="E26" s="49"/>
      <c r="F26" s="48"/>
      <c r="G26" s="48"/>
      <c r="H26" s="48"/>
      <c r="I26" s="48"/>
      <c r="J26" s="48"/>
      <c r="K26" s="48"/>
      <c r="L26" s="48"/>
      <c r="M26" s="48"/>
      <c r="N26" s="48"/>
    </row>
    <row r="27" spans="1:14" ht="17.25" customHeight="1" x14ac:dyDescent="0.25">
      <c r="A27" s="48"/>
      <c r="B27" s="1644" t="s">
        <v>1966</v>
      </c>
      <c r="C27" s="1646"/>
      <c r="D27" s="1025" t="s">
        <v>62</v>
      </c>
      <c r="E27" s="49"/>
      <c r="F27" s="48"/>
      <c r="G27" s="48"/>
      <c r="H27" s="48"/>
      <c r="I27" s="48"/>
      <c r="J27" s="48"/>
      <c r="K27" s="48"/>
      <c r="L27" s="48"/>
      <c r="M27" s="48"/>
      <c r="N27" s="48"/>
    </row>
    <row r="28" spans="1:14" ht="17.25" customHeight="1" x14ac:dyDescent="0.25">
      <c r="A28" s="48"/>
      <c r="B28" s="1644" t="s">
        <v>1832</v>
      </c>
      <c r="C28" s="1646"/>
      <c r="D28" s="1025" t="s">
        <v>62</v>
      </c>
      <c r="E28" s="49"/>
      <c r="F28" s="48"/>
      <c r="G28" s="48"/>
      <c r="H28" s="48"/>
      <c r="I28" s="48"/>
      <c r="J28" s="48"/>
      <c r="K28" s="48"/>
      <c r="L28" s="48"/>
      <c r="M28" s="48"/>
      <c r="N28" s="48"/>
    </row>
    <row r="29" spans="1:14" ht="15" customHeight="1" x14ac:dyDescent="0.25">
      <c r="A29" s="48"/>
      <c r="B29" s="671"/>
      <c r="C29" s="48"/>
      <c r="D29" s="48"/>
      <c r="E29" s="48"/>
      <c r="F29" s="48"/>
      <c r="G29" s="48"/>
      <c r="H29" s="48"/>
      <c r="I29" s="48"/>
      <c r="J29" s="48"/>
      <c r="K29" s="48"/>
      <c r="L29" s="48"/>
      <c r="M29" s="48"/>
      <c r="N29" s="48"/>
    </row>
    <row r="30" spans="1:14" x14ac:dyDescent="0.25">
      <c r="A30" s="48"/>
      <c r="B30" s="394" t="s">
        <v>1724</v>
      </c>
      <c r="C30" s="48"/>
      <c r="D30" s="48"/>
      <c r="E30" s="48"/>
      <c r="F30" s="48"/>
      <c r="G30" s="48"/>
      <c r="H30" s="48"/>
      <c r="I30" s="48"/>
      <c r="J30" s="48"/>
      <c r="K30" s="48"/>
      <c r="L30" s="48"/>
      <c r="M30" s="48"/>
      <c r="N30" s="48"/>
    </row>
    <row r="31" spans="1:14" x14ac:dyDescent="0.25">
      <c r="A31" s="48"/>
      <c r="B31" s="394"/>
      <c r="C31" s="48"/>
      <c r="D31" s="48"/>
      <c r="E31" s="48"/>
      <c r="F31" s="48"/>
      <c r="G31" s="48"/>
      <c r="H31" s="48"/>
      <c r="I31" s="48"/>
      <c r="J31" s="48"/>
      <c r="K31" s="48"/>
      <c r="L31" s="48"/>
      <c r="M31" s="48"/>
      <c r="N31" s="48"/>
    </row>
    <row r="32" spans="1:14" x14ac:dyDescent="0.25">
      <c r="A32" s="48"/>
      <c r="B32" s="1177" t="s">
        <v>1743</v>
      </c>
      <c r="C32" s="1166"/>
      <c r="D32" s="1166"/>
      <c r="E32" s="1166"/>
      <c r="F32" s="1166"/>
      <c r="G32" s="1166"/>
      <c r="H32" s="1166"/>
      <c r="I32" s="1166"/>
      <c r="J32" s="1166"/>
      <c r="K32" s="1166"/>
      <c r="L32" s="1167"/>
      <c r="M32" s="48"/>
      <c r="N32" s="48"/>
    </row>
    <row r="33" spans="1:15" ht="28.5" customHeight="1" x14ac:dyDescent="0.25">
      <c r="A33" s="48"/>
      <c r="B33" s="2290" t="s">
        <v>1744</v>
      </c>
      <c r="C33" s="2291"/>
      <c r="D33" s="2291"/>
      <c r="E33" s="2291"/>
      <c r="F33" s="2291"/>
      <c r="G33" s="2291"/>
      <c r="H33" s="2291"/>
      <c r="I33" s="2291"/>
      <c r="J33" s="2291"/>
      <c r="K33" s="2291"/>
      <c r="L33" s="2292"/>
      <c r="M33" s="48"/>
      <c r="N33" s="48"/>
    </row>
    <row r="34" spans="1:15" x14ac:dyDescent="0.25">
      <c r="A34" s="48"/>
      <c r="B34" s="394"/>
      <c r="C34" s="48"/>
      <c r="D34" s="48"/>
      <c r="E34" s="48"/>
      <c r="F34" s="48"/>
      <c r="G34" s="48"/>
      <c r="H34" s="48"/>
      <c r="I34" s="48"/>
      <c r="J34" s="48"/>
      <c r="K34" s="48"/>
      <c r="L34" s="48"/>
      <c r="M34" s="48"/>
      <c r="N34" s="48"/>
    </row>
    <row r="35" spans="1:15" ht="16.5" customHeight="1" x14ac:dyDescent="0.25">
      <c r="A35" s="48"/>
      <c r="B35" s="2093" t="s">
        <v>1965</v>
      </c>
      <c r="C35" s="2094"/>
      <c r="D35" s="1058"/>
      <c r="E35" s="48"/>
      <c r="F35" s="48"/>
      <c r="G35" s="48"/>
      <c r="H35" s="48"/>
      <c r="I35" s="48"/>
      <c r="J35" s="48"/>
      <c r="K35" s="48"/>
      <c r="L35" s="48"/>
      <c r="M35" s="48"/>
      <c r="N35" s="48"/>
    </row>
    <row r="36" spans="1:15" x14ac:dyDescent="0.25">
      <c r="A36" s="48"/>
      <c r="B36" s="394"/>
      <c r="C36" s="48"/>
      <c r="D36" s="48"/>
      <c r="E36" s="48"/>
      <c r="F36" s="48"/>
      <c r="G36" s="48"/>
      <c r="H36" s="48"/>
      <c r="I36" s="48"/>
      <c r="J36" s="48"/>
      <c r="K36" s="48"/>
      <c r="L36" s="48"/>
      <c r="M36" s="48"/>
      <c r="N36" s="48"/>
    </row>
    <row r="37" spans="1:15" ht="30" customHeight="1" x14ac:dyDescent="0.25">
      <c r="A37" s="48"/>
      <c r="B37" s="960" t="s">
        <v>1722</v>
      </c>
      <c r="C37" s="2110" t="s">
        <v>1878</v>
      </c>
      <c r="D37" s="2110"/>
      <c r="E37" s="1031" t="s">
        <v>1879</v>
      </c>
      <c r="F37" s="1031" t="s">
        <v>1723</v>
      </c>
      <c r="G37" s="1067" t="s">
        <v>89</v>
      </c>
      <c r="H37" s="48"/>
      <c r="I37" s="48"/>
      <c r="J37" s="48"/>
      <c r="K37" s="48"/>
      <c r="L37" s="48"/>
      <c r="M37" s="48"/>
      <c r="N37" s="48"/>
    </row>
    <row r="38" spans="1:15" x14ac:dyDescent="0.25">
      <c r="A38" s="48"/>
      <c r="B38" s="958"/>
      <c r="C38" s="1625"/>
      <c r="D38" s="1626"/>
      <c r="E38" s="538"/>
      <c r="F38" s="1025"/>
      <c r="G38" s="181" t="str">
        <f>IF(D35="","No",IF(F38&lt;=0.02*D35,"Yes","No"))</f>
        <v>No</v>
      </c>
      <c r="H38" s="48"/>
      <c r="I38" s="48"/>
      <c r="J38" s="48"/>
      <c r="K38" s="48"/>
      <c r="L38" s="48"/>
      <c r="M38" s="48"/>
      <c r="N38" s="48" t="str">
        <f>IF($D$35="","No",IF(F38&lt;=0.02*$D$35,"Yes","No"))</f>
        <v>No</v>
      </c>
    </row>
    <row r="39" spans="1:15" x14ac:dyDescent="0.25">
      <c r="A39" s="48"/>
      <c r="B39" s="958"/>
      <c r="C39" s="1625"/>
      <c r="D39" s="1626"/>
      <c r="E39" s="538"/>
      <c r="F39" s="1025"/>
      <c r="G39" s="181" t="str">
        <f t="shared" ref="G39:G47" si="1">IF(D36="","No",IF(F39&lt;=0.02*D36,"Yes","No"))</f>
        <v>No</v>
      </c>
      <c r="H39" s="48"/>
      <c r="I39" s="48"/>
      <c r="J39" s="48"/>
      <c r="K39" s="48"/>
      <c r="L39" s="48"/>
      <c r="M39" s="48"/>
      <c r="N39" s="48" t="str">
        <f t="shared" ref="N39:N47" si="2">IF($D$35="","No",IF(F39&lt;=0.02*$D$35,"Yes","No"))</f>
        <v>No</v>
      </c>
    </row>
    <row r="40" spans="1:15" x14ac:dyDescent="0.25">
      <c r="A40" s="48"/>
      <c r="B40" s="958"/>
      <c r="C40" s="1625"/>
      <c r="D40" s="1626"/>
      <c r="E40" s="538"/>
      <c r="F40" s="1025"/>
      <c r="G40" s="181" t="str">
        <f t="shared" si="1"/>
        <v>No</v>
      </c>
      <c r="H40" s="48"/>
      <c r="I40" s="48"/>
      <c r="J40" s="48"/>
      <c r="K40" s="48"/>
      <c r="L40" s="48"/>
      <c r="M40" s="48"/>
      <c r="N40" s="48" t="str">
        <f t="shared" si="2"/>
        <v>No</v>
      </c>
    </row>
    <row r="41" spans="1:15" x14ac:dyDescent="0.25">
      <c r="A41" s="48"/>
      <c r="B41" s="1058"/>
      <c r="C41" s="1056"/>
      <c r="D41" s="1057"/>
      <c r="E41" s="538"/>
      <c r="F41" s="1058"/>
      <c r="G41" s="181" t="str">
        <f t="shared" si="1"/>
        <v>No</v>
      </c>
      <c r="H41" s="48"/>
      <c r="I41" s="48"/>
      <c r="J41" s="48"/>
      <c r="K41" s="48"/>
      <c r="L41" s="48"/>
      <c r="M41" s="48"/>
      <c r="N41" s="48" t="str">
        <f t="shared" si="2"/>
        <v>No</v>
      </c>
    </row>
    <row r="42" spans="1:15" x14ac:dyDescent="0.25">
      <c r="A42" s="48"/>
      <c r="B42" s="1058"/>
      <c r="C42" s="1056"/>
      <c r="D42" s="1057"/>
      <c r="E42" s="538"/>
      <c r="F42" s="1058"/>
      <c r="G42" s="181" t="str">
        <f t="shared" si="1"/>
        <v>No</v>
      </c>
      <c r="H42" s="48"/>
      <c r="I42" s="48"/>
      <c r="J42" s="48"/>
      <c r="K42" s="48"/>
      <c r="L42" s="48"/>
      <c r="M42" s="48"/>
      <c r="N42" s="48" t="str">
        <f t="shared" si="2"/>
        <v>No</v>
      </c>
    </row>
    <row r="43" spans="1:15" x14ac:dyDescent="0.25">
      <c r="A43" s="48"/>
      <c r="B43" s="1058"/>
      <c r="C43" s="1056"/>
      <c r="D43" s="1057"/>
      <c r="E43" s="538"/>
      <c r="F43" s="1058"/>
      <c r="G43" s="181" t="str">
        <f t="shared" si="1"/>
        <v>No</v>
      </c>
      <c r="H43" s="48"/>
      <c r="I43" s="48"/>
      <c r="J43" s="48"/>
      <c r="K43" s="48"/>
      <c r="L43" s="48"/>
      <c r="M43" s="48"/>
      <c r="N43" s="48" t="str">
        <f t="shared" si="2"/>
        <v>No</v>
      </c>
    </row>
    <row r="44" spans="1:15" x14ac:dyDescent="0.25">
      <c r="A44" s="48"/>
      <c r="B44" s="1058"/>
      <c r="C44" s="1056"/>
      <c r="D44" s="1057"/>
      <c r="E44" s="538"/>
      <c r="F44" s="1058"/>
      <c r="G44" s="181" t="str">
        <f t="shared" si="1"/>
        <v>No</v>
      </c>
      <c r="H44" s="48"/>
      <c r="I44" s="48"/>
      <c r="J44" s="48"/>
      <c r="K44" s="48"/>
      <c r="L44" s="48"/>
      <c r="M44" s="48"/>
      <c r="N44" s="48" t="str">
        <f t="shared" si="2"/>
        <v>No</v>
      </c>
    </row>
    <row r="45" spans="1:15" x14ac:dyDescent="0.25">
      <c r="A45" s="48"/>
      <c r="B45" s="958"/>
      <c r="C45" s="1625"/>
      <c r="D45" s="1626"/>
      <c r="E45" s="538"/>
      <c r="F45" s="1025"/>
      <c r="G45" s="181" t="str">
        <f t="shared" si="1"/>
        <v>No</v>
      </c>
      <c r="H45" s="48"/>
      <c r="I45" s="48"/>
      <c r="J45" s="48"/>
      <c r="K45" s="48"/>
      <c r="L45" s="48"/>
      <c r="M45" s="48"/>
      <c r="N45" s="48" t="str">
        <f t="shared" si="2"/>
        <v>No</v>
      </c>
    </row>
    <row r="46" spans="1:15" x14ac:dyDescent="0.25">
      <c r="A46" s="48"/>
      <c r="B46" s="958"/>
      <c r="C46" s="1625"/>
      <c r="D46" s="1626"/>
      <c r="E46" s="538"/>
      <c r="F46" s="1025"/>
      <c r="G46" s="181" t="str">
        <f t="shared" si="1"/>
        <v>No</v>
      </c>
      <c r="H46" s="48"/>
      <c r="I46" s="48"/>
      <c r="J46" s="48"/>
      <c r="K46" s="48"/>
      <c r="L46" s="48"/>
      <c r="M46" s="48"/>
      <c r="N46" s="48" t="str">
        <f t="shared" si="2"/>
        <v>No</v>
      </c>
    </row>
    <row r="47" spans="1:15" x14ac:dyDescent="0.25">
      <c r="A47" s="48"/>
      <c r="B47" s="958"/>
      <c r="C47" s="1625"/>
      <c r="D47" s="1626"/>
      <c r="E47" s="538"/>
      <c r="F47" s="1025"/>
      <c r="G47" s="181" t="str">
        <f t="shared" si="1"/>
        <v>No</v>
      </c>
      <c r="H47" s="48"/>
      <c r="I47" s="48"/>
      <c r="J47" s="48"/>
      <c r="K47" s="48"/>
      <c r="L47" s="48"/>
      <c r="M47" s="48"/>
      <c r="N47" s="48" t="str">
        <f t="shared" si="2"/>
        <v>No</v>
      </c>
    </row>
    <row r="48" spans="1:15" x14ac:dyDescent="0.25">
      <c r="A48" s="48"/>
      <c r="B48" s="49"/>
      <c r="C48" s="49"/>
      <c r="D48" s="49"/>
      <c r="E48" s="49"/>
      <c r="F48" s="48"/>
      <c r="G48" s="48"/>
      <c r="H48" s="48"/>
      <c r="I48" s="48"/>
      <c r="J48" s="48"/>
      <c r="K48" s="48"/>
      <c r="L48" s="49"/>
      <c r="M48" s="48"/>
      <c r="N48" s="37" t="s">
        <v>1963</v>
      </c>
      <c r="O48" s="37" t="s">
        <v>1964</v>
      </c>
    </row>
    <row r="49" spans="1:15" ht="18" customHeight="1" x14ac:dyDescent="0.25">
      <c r="A49" s="48"/>
      <c r="B49" s="2128" t="s">
        <v>2196</v>
      </c>
      <c r="C49" s="2129"/>
      <c r="D49" s="2129"/>
      <c r="E49" s="2130"/>
      <c r="F49" s="70">
        <f>IFERROR((O49/N49),0)</f>
        <v>0</v>
      </c>
      <c r="G49" s="1149"/>
      <c r="H49" s="1149"/>
      <c r="I49" s="1149"/>
      <c r="J49" s="1149"/>
      <c r="K49" s="48"/>
      <c r="L49" s="48"/>
      <c r="M49" s="48"/>
      <c r="N49" s="37">
        <f>SUM(E38:E47)</f>
        <v>0</v>
      </c>
      <c r="O49" s="37">
        <f>SUMIF(N38:N47,"Yes",E38:E47)</f>
        <v>0</v>
      </c>
    </row>
    <row r="50" spans="1:15" ht="18" customHeight="1" x14ac:dyDescent="0.25">
      <c r="A50" s="48"/>
      <c r="B50" s="290"/>
      <c r="C50" s="1149"/>
      <c r="D50" s="1149"/>
      <c r="E50" s="1149"/>
      <c r="F50" s="1149"/>
      <c r="G50" s="1149"/>
      <c r="H50" s="1149"/>
      <c r="I50" s="1149"/>
      <c r="J50" s="1149"/>
      <c r="K50" s="48"/>
      <c r="L50" s="48"/>
      <c r="M50" s="48"/>
    </row>
    <row r="51" spans="1:15" ht="14.25" customHeight="1" x14ac:dyDescent="0.25">
      <c r="A51" s="49"/>
      <c r="B51" s="394" t="s">
        <v>1725</v>
      </c>
      <c r="C51" s="48"/>
      <c r="D51" s="48"/>
      <c r="E51" s="49"/>
      <c r="F51" s="48"/>
      <c r="G51" s="49"/>
      <c r="H51" s="49"/>
      <c r="I51" s="48"/>
      <c r="J51" s="49"/>
      <c r="K51" s="48"/>
      <c r="L51" s="49"/>
      <c r="M51" s="48"/>
    </row>
    <row r="52" spans="1:15" ht="12" customHeight="1" x14ac:dyDescent="0.25">
      <c r="A52" s="48"/>
      <c r="B52" s="49"/>
      <c r="C52" s="49"/>
      <c r="D52" s="49"/>
      <c r="E52" s="49"/>
      <c r="F52" s="48"/>
      <c r="G52" s="48"/>
      <c r="H52" s="48"/>
      <c r="I52" s="48"/>
      <c r="J52" s="48"/>
      <c r="K52" s="48"/>
      <c r="L52" s="48"/>
      <c r="M52" s="48"/>
    </row>
    <row r="53" spans="1:15" ht="29.25" customHeight="1" x14ac:dyDescent="0.25">
      <c r="A53" s="48"/>
      <c r="B53" s="2297" t="s">
        <v>2193</v>
      </c>
      <c r="C53" s="2298"/>
      <c r="D53" s="2298"/>
      <c r="E53" s="2298"/>
      <c r="F53" s="2298"/>
      <c r="G53" s="2298"/>
      <c r="H53" s="2298"/>
      <c r="I53" s="2298"/>
      <c r="J53" s="2298"/>
      <c r="K53" s="2298"/>
      <c r="L53" s="2299"/>
      <c r="M53" s="48"/>
      <c r="N53" s="48"/>
    </row>
    <row r="54" spans="1:15" x14ac:dyDescent="0.25">
      <c r="A54" s="48"/>
      <c r="B54" s="2300" t="s">
        <v>2194</v>
      </c>
      <c r="C54" s="1809"/>
      <c r="D54" s="1809"/>
      <c r="E54" s="1809"/>
      <c r="F54" s="1809"/>
      <c r="G54" s="1809"/>
      <c r="H54" s="1809"/>
      <c r="I54" s="1809"/>
      <c r="J54" s="1809"/>
      <c r="K54" s="1809"/>
      <c r="L54" s="2301"/>
      <c r="M54" s="48"/>
      <c r="N54" s="48"/>
    </row>
    <row r="55" spans="1:15" x14ac:dyDescent="0.25">
      <c r="A55" s="48"/>
      <c r="B55" s="2278" t="s">
        <v>1745</v>
      </c>
      <c r="C55" s="2279"/>
      <c r="D55" s="2279"/>
      <c r="E55" s="2279"/>
      <c r="F55" s="2279"/>
      <c r="G55" s="2279"/>
      <c r="H55" s="2279"/>
      <c r="I55" s="2279"/>
      <c r="J55" s="2279"/>
      <c r="K55" s="2279"/>
      <c r="L55" s="2280"/>
      <c r="M55" s="48"/>
      <c r="N55" s="48"/>
    </row>
    <row r="56" spans="1:15" x14ac:dyDescent="0.25">
      <c r="A56" s="48"/>
      <c r="B56" s="2281" t="s">
        <v>1931</v>
      </c>
      <c r="C56" s="2282"/>
      <c r="D56" s="2282"/>
      <c r="E56" s="2282"/>
      <c r="F56" s="2282"/>
      <c r="G56" s="2282"/>
      <c r="H56" s="2282"/>
      <c r="I56" s="2282"/>
      <c r="J56" s="2282"/>
      <c r="K56" s="2282"/>
      <c r="L56" s="2283"/>
      <c r="M56" s="48"/>
      <c r="N56" s="48"/>
    </row>
    <row r="57" spans="1:15" x14ac:dyDescent="0.25">
      <c r="A57" s="48"/>
      <c r="B57" s="2281" t="s">
        <v>2191</v>
      </c>
      <c r="C57" s="2282"/>
      <c r="D57" s="2282"/>
      <c r="E57" s="2282"/>
      <c r="F57" s="2282"/>
      <c r="G57" s="2282"/>
      <c r="H57" s="2282"/>
      <c r="I57" s="2282"/>
      <c r="J57" s="2282"/>
      <c r="K57" s="2282"/>
      <c r="L57" s="2283"/>
      <c r="M57" s="48"/>
      <c r="N57" s="48"/>
    </row>
    <row r="58" spans="1:15" x14ac:dyDescent="0.25">
      <c r="A58" s="48"/>
      <c r="B58" s="2281" t="s">
        <v>2192</v>
      </c>
      <c r="C58" s="2282"/>
      <c r="D58" s="2282"/>
      <c r="E58" s="2282"/>
      <c r="F58" s="2282"/>
      <c r="G58" s="2282"/>
      <c r="H58" s="2282"/>
      <c r="I58" s="2282"/>
      <c r="J58" s="2282"/>
      <c r="K58" s="2282"/>
      <c r="L58" s="2283"/>
      <c r="M58" s="48"/>
      <c r="N58" s="48"/>
    </row>
    <row r="59" spans="1:15" x14ac:dyDescent="0.25">
      <c r="A59" s="48"/>
      <c r="B59" s="2278" t="s">
        <v>1746</v>
      </c>
      <c r="C59" s="2279"/>
      <c r="D59" s="2279"/>
      <c r="E59" s="2279"/>
      <c r="F59" s="2279"/>
      <c r="G59" s="2279"/>
      <c r="H59" s="2279"/>
      <c r="I59" s="2279"/>
      <c r="J59" s="2279"/>
      <c r="K59" s="2279"/>
      <c r="L59" s="2280"/>
      <c r="M59" s="48"/>
      <c r="N59" s="48"/>
    </row>
    <row r="60" spans="1:15" x14ac:dyDescent="0.25">
      <c r="A60" s="48"/>
      <c r="B60" s="2281" t="s">
        <v>2063</v>
      </c>
      <c r="C60" s="2282"/>
      <c r="D60" s="2282"/>
      <c r="E60" s="2282"/>
      <c r="F60" s="2282"/>
      <c r="G60" s="2282"/>
      <c r="H60" s="2282"/>
      <c r="I60" s="2282"/>
      <c r="J60" s="2282"/>
      <c r="K60" s="2282"/>
      <c r="L60" s="2283"/>
      <c r="M60" s="48"/>
      <c r="N60" s="48"/>
    </row>
    <row r="61" spans="1:15" x14ac:dyDescent="0.25">
      <c r="A61" s="48"/>
      <c r="B61" s="2281" t="s">
        <v>1750</v>
      </c>
      <c r="C61" s="2282"/>
      <c r="D61" s="2282"/>
      <c r="E61" s="2282"/>
      <c r="F61" s="2282"/>
      <c r="G61" s="2282"/>
      <c r="H61" s="2282"/>
      <c r="I61" s="2282"/>
      <c r="J61" s="2282"/>
      <c r="K61" s="2282"/>
      <c r="L61" s="2283"/>
      <c r="M61" s="48"/>
      <c r="N61" s="48"/>
    </row>
    <row r="62" spans="1:15" x14ac:dyDescent="0.25">
      <c r="A62" s="48"/>
      <c r="B62" s="2278" t="s">
        <v>1747</v>
      </c>
      <c r="C62" s="2279"/>
      <c r="D62" s="2279"/>
      <c r="E62" s="2279"/>
      <c r="F62" s="2279"/>
      <c r="G62" s="2279"/>
      <c r="H62" s="2279"/>
      <c r="I62" s="2279"/>
      <c r="J62" s="2279"/>
      <c r="K62" s="2279"/>
      <c r="L62" s="2280"/>
      <c r="M62" s="48"/>
      <c r="N62" s="48"/>
    </row>
    <row r="63" spans="1:15" x14ac:dyDescent="0.25">
      <c r="A63" s="48"/>
      <c r="B63" s="2281" t="s">
        <v>2748</v>
      </c>
      <c r="C63" s="2282"/>
      <c r="D63" s="2282"/>
      <c r="E63" s="2282"/>
      <c r="F63" s="2282"/>
      <c r="G63" s="2282"/>
      <c r="H63" s="2282"/>
      <c r="I63" s="2282"/>
      <c r="J63" s="2282"/>
      <c r="K63" s="2282"/>
      <c r="L63" s="2283"/>
      <c r="M63" s="48"/>
      <c r="N63" s="48"/>
    </row>
    <row r="64" spans="1:15" x14ac:dyDescent="0.25">
      <c r="A64" s="48"/>
      <c r="B64" s="2281" t="s">
        <v>1748</v>
      </c>
      <c r="C64" s="2282"/>
      <c r="D64" s="2282"/>
      <c r="E64" s="2282"/>
      <c r="F64" s="2282"/>
      <c r="G64" s="2282"/>
      <c r="H64" s="2282"/>
      <c r="I64" s="2282"/>
      <c r="J64" s="2282"/>
      <c r="K64" s="2282"/>
      <c r="L64" s="2283"/>
      <c r="M64" s="48"/>
      <c r="N64" s="48"/>
    </row>
    <row r="65" spans="1:15" x14ac:dyDescent="0.25">
      <c r="A65" s="48"/>
      <c r="B65" s="2284" t="s">
        <v>1749</v>
      </c>
      <c r="C65" s="2285"/>
      <c r="D65" s="2285"/>
      <c r="E65" s="2285"/>
      <c r="F65" s="2285"/>
      <c r="G65" s="2285"/>
      <c r="H65" s="2285"/>
      <c r="I65" s="2285"/>
      <c r="J65" s="2285"/>
      <c r="K65" s="2285"/>
      <c r="L65" s="2286"/>
      <c r="M65" s="48"/>
      <c r="N65" s="48"/>
    </row>
    <row r="66" spans="1:15" ht="14.25" customHeight="1" x14ac:dyDescent="0.25">
      <c r="A66" s="49"/>
      <c r="B66" s="394"/>
      <c r="C66" s="48"/>
      <c r="D66" s="48"/>
      <c r="E66" s="48"/>
      <c r="F66" s="48"/>
      <c r="G66" s="48"/>
      <c r="H66" s="48"/>
      <c r="I66" s="48"/>
      <c r="J66" s="48"/>
      <c r="K66" s="48"/>
      <c r="L66" s="48"/>
      <c r="M66" s="48"/>
      <c r="N66" s="48"/>
    </row>
    <row r="67" spans="1:15" ht="14.25" customHeight="1" x14ac:dyDescent="0.25">
      <c r="A67" s="49"/>
      <c r="B67" s="2137" t="s">
        <v>1937</v>
      </c>
      <c r="C67" s="2138"/>
      <c r="D67" s="2142" t="s">
        <v>62</v>
      </c>
      <c r="E67" s="2142"/>
      <c r="F67" s="48"/>
      <c r="G67" s="48"/>
      <c r="H67" s="48"/>
      <c r="I67" s="48"/>
      <c r="J67" s="48"/>
      <c r="K67" s="48"/>
      <c r="L67" s="48"/>
      <c r="M67" s="48"/>
      <c r="N67" s="48"/>
    </row>
    <row r="68" spans="1:15" ht="14.25" customHeight="1" x14ac:dyDescent="0.25">
      <c r="A68" s="49"/>
      <c r="B68" s="394"/>
      <c r="C68" s="48"/>
      <c r="D68" s="48"/>
      <c r="E68" s="48"/>
      <c r="F68" s="48"/>
      <c r="G68" s="48"/>
      <c r="H68" s="48"/>
      <c r="I68" s="48"/>
      <c r="J68" s="48"/>
      <c r="K68" s="48"/>
      <c r="L68" s="48"/>
      <c r="M68" s="48"/>
      <c r="N68" s="48"/>
    </row>
    <row r="69" spans="1:15" ht="30" customHeight="1" x14ac:dyDescent="0.25">
      <c r="A69" s="48"/>
      <c r="B69" s="2296" t="s">
        <v>1945</v>
      </c>
      <c r="C69" s="2296"/>
      <c r="D69" s="2296"/>
      <c r="E69" s="2296"/>
      <c r="F69" s="2296"/>
      <c r="G69" s="2296"/>
      <c r="H69" s="2296"/>
      <c r="I69" s="2296"/>
      <c r="J69" s="2296"/>
      <c r="K69" s="2296"/>
      <c r="L69" s="2296"/>
      <c r="M69" s="48"/>
    </row>
    <row r="70" spans="1:15" ht="13.5" customHeight="1" x14ac:dyDescent="0.25">
      <c r="A70" s="48"/>
      <c r="B70" s="1178" t="s">
        <v>1939</v>
      </c>
      <c r="C70" s="982"/>
      <c r="D70" s="982"/>
      <c r="E70" s="982"/>
      <c r="F70" s="1065"/>
      <c r="G70" s="1066" t="s">
        <v>1751</v>
      </c>
      <c r="H70" s="982"/>
      <c r="I70" s="982"/>
      <c r="J70" s="982"/>
      <c r="K70" s="48"/>
      <c r="L70" s="48"/>
      <c r="M70" s="48"/>
    </row>
    <row r="71" spans="1:15" x14ac:dyDescent="0.25">
      <c r="A71" s="48"/>
      <c r="B71" s="981"/>
      <c r="C71" s="49"/>
      <c r="D71" s="49"/>
      <c r="E71" s="49"/>
      <c r="F71" s="48"/>
      <c r="G71" s="48"/>
      <c r="H71" s="48"/>
      <c r="I71" s="48"/>
      <c r="J71" s="48"/>
      <c r="K71" s="48"/>
      <c r="L71" s="48"/>
      <c r="M71" s="48"/>
    </row>
    <row r="72" spans="1:15" ht="25.5" x14ac:dyDescent="0.25">
      <c r="A72" s="48"/>
      <c r="B72" s="1043" t="s">
        <v>1654</v>
      </c>
      <c r="C72" s="1071" t="s">
        <v>182</v>
      </c>
      <c r="D72" s="1042" t="s">
        <v>1944</v>
      </c>
      <c r="E72" s="1042" t="s">
        <v>1942</v>
      </c>
      <c r="F72" s="1042" t="s">
        <v>1943</v>
      </c>
      <c r="G72" s="1042" t="s">
        <v>1941</v>
      </c>
      <c r="H72" s="48"/>
      <c r="I72" s="48"/>
      <c r="J72" s="48"/>
      <c r="K72" s="48"/>
      <c r="L72" s="48"/>
      <c r="M72" s="48"/>
      <c r="N72" s="48"/>
      <c r="O72" s="48"/>
    </row>
    <row r="73" spans="1:15" x14ac:dyDescent="0.25">
      <c r="A73" s="48"/>
      <c r="B73" s="1041"/>
      <c r="C73" s="1058"/>
      <c r="D73" s="1041" t="s">
        <v>62</v>
      </c>
      <c r="E73" s="1041"/>
      <c r="F73" s="1041"/>
      <c r="G73" s="1041" t="s">
        <v>62</v>
      </c>
      <c r="H73" s="48"/>
      <c r="I73" s="48"/>
      <c r="J73" s="48"/>
      <c r="K73" s="48"/>
      <c r="L73" s="48"/>
      <c r="M73" s="48"/>
      <c r="N73" s="48"/>
      <c r="O73" s="48"/>
    </row>
    <row r="74" spans="1:15" x14ac:dyDescent="0.25">
      <c r="A74" s="48"/>
      <c r="B74" s="1041"/>
      <c r="C74" s="1058"/>
      <c r="D74" s="1041" t="s">
        <v>62</v>
      </c>
      <c r="E74" s="1041"/>
      <c r="F74" s="1041"/>
      <c r="G74" s="1041" t="s">
        <v>62</v>
      </c>
      <c r="H74" s="48"/>
      <c r="I74" s="48"/>
      <c r="J74" s="48"/>
      <c r="K74" s="48"/>
      <c r="L74" s="48"/>
      <c r="M74" s="48"/>
      <c r="N74" s="48"/>
      <c r="O74" s="48"/>
    </row>
    <row r="75" spans="1:15" x14ac:dyDescent="0.25">
      <c r="A75" s="48"/>
      <c r="B75" s="1041"/>
      <c r="C75" s="1058"/>
      <c r="D75" s="1041" t="s">
        <v>62</v>
      </c>
      <c r="E75" s="1041"/>
      <c r="F75" s="1041"/>
      <c r="G75" s="1041" t="s">
        <v>62</v>
      </c>
      <c r="H75" s="48"/>
      <c r="I75" s="48"/>
      <c r="J75" s="48"/>
      <c r="K75" s="48"/>
      <c r="L75" s="48"/>
      <c r="M75" s="48"/>
      <c r="N75" s="48"/>
      <c r="O75" s="48"/>
    </row>
    <row r="76" spans="1:15" x14ac:dyDescent="0.25">
      <c r="A76" s="48"/>
      <c r="B76" s="1041"/>
      <c r="C76" s="1058"/>
      <c r="D76" s="1041" t="s">
        <v>62</v>
      </c>
      <c r="E76" s="1041"/>
      <c r="F76" s="1041"/>
      <c r="G76" s="1041" t="s">
        <v>62</v>
      </c>
      <c r="H76" s="48"/>
      <c r="I76" s="48"/>
      <c r="J76" s="48"/>
      <c r="K76" s="48"/>
      <c r="L76" s="48"/>
      <c r="M76" s="48"/>
      <c r="N76" s="48"/>
      <c r="O76" s="48"/>
    </row>
    <row r="77" spans="1:15" x14ac:dyDescent="0.25">
      <c r="A77" s="48"/>
      <c r="B77" s="1041"/>
      <c r="C77" s="1058"/>
      <c r="D77" s="1041" t="s">
        <v>62</v>
      </c>
      <c r="E77" s="1041"/>
      <c r="F77" s="1041"/>
      <c r="G77" s="1041" t="s">
        <v>62</v>
      </c>
      <c r="H77" s="48"/>
      <c r="I77" s="48"/>
      <c r="J77" s="48"/>
      <c r="K77" s="48"/>
      <c r="L77" s="48"/>
      <c r="M77" s="48"/>
      <c r="N77" s="48"/>
      <c r="O77" s="48"/>
    </row>
    <row r="78" spans="1:15" x14ac:dyDescent="0.25">
      <c r="A78" s="48"/>
      <c r="B78" s="1041"/>
      <c r="C78" s="1058"/>
      <c r="D78" s="1041" t="s">
        <v>62</v>
      </c>
      <c r="E78" s="1041"/>
      <c r="F78" s="1041"/>
      <c r="G78" s="1041" t="s">
        <v>62</v>
      </c>
      <c r="H78" s="48"/>
      <c r="I78" s="48"/>
      <c r="J78" s="48"/>
      <c r="K78" s="48"/>
      <c r="L78" s="48"/>
      <c r="M78" s="48"/>
      <c r="N78" s="48"/>
      <c r="O78" s="48"/>
    </row>
    <row r="79" spans="1:15" x14ac:dyDescent="0.25">
      <c r="A79" s="48"/>
      <c r="B79" s="1041"/>
      <c r="C79" s="1058"/>
      <c r="D79" s="1041" t="s">
        <v>62</v>
      </c>
      <c r="E79" s="1041"/>
      <c r="F79" s="1041"/>
      <c r="G79" s="1041" t="s">
        <v>62</v>
      </c>
      <c r="H79" s="48"/>
      <c r="I79" s="48"/>
      <c r="J79" s="48"/>
      <c r="K79" s="48"/>
      <c r="L79" s="48"/>
      <c r="M79" s="48"/>
      <c r="N79" s="48"/>
      <c r="O79" s="48"/>
    </row>
    <row r="80" spans="1:15" x14ac:dyDescent="0.25">
      <c r="A80" s="48"/>
      <c r="B80" s="1041"/>
      <c r="C80" s="1058"/>
      <c r="D80" s="1041" t="s">
        <v>62</v>
      </c>
      <c r="E80" s="1041"/>
      <c r="F80" s="1041"/>
      <c r="G80" s="1041" t="s">
        <v>62</v>
      </c>
      <c r="H80" s="48"/>
      <c r="I80" s="48"/>
      <c r="J80" s="48"/>
      <c r="K80" s="48"/>
      <c r="L80" s="48"/>
      <c r="M80" s="48"/>
      <c r="N80" s="48"/>
      <c r="O80" s="48"/>
    </row>
    <row r="81" spans="1:15" x14ac:dyDescent="0.25">
      <c r="A81" s="48"/>
      <c r="B81" s="1041"/>
      <c r="C81" s="1058"/>
      <c r="D81" s="1041" t="s">
        <v>62</v>
      </c>
      <c r="E81" s="1041"/>
      <c r="F81" s="1041"/>
      <c r="G81" s="1041" t="s">
        <v>62</v>
      </c>
      <c r="H81" s="48"/>
      <c r="I81" s="48"/>
      <c r="J81" s="48"/>
      <c r="K81" s="48"/>
      <c r="L81" s="48"/>
      <c r="M81" s="48"/>
      <c r="N81" s="48"/>
      <c r="O81" s="48"/>
    </row>
    <row r="82" spans="1:15" x14ac:dyDescent="0.25">
      <c r="A82" s="48"/>
      <c r="B82" s="1041"/>
      <c r="C82" s="1058"/>
      <c r="D82" s="1041" t="s">
        <v>62</v>
      </c>
      <c r="E82" s="1041"/>
      <c r="F82" s="1041"/>
      <c r="G82" s="1041" t="s">
        <v>62</v>
      </c>
      <c r="H82" s="48"/>
      <c r="I82" s="48"/>
      <c r="J82" s="48"/>
      <c r="K82" s="48"/>
      <c r="L82" s="48"/>
      <c r="M82" s="48"/>
      <c r="N82" s="48"/>
      <c r="O82" s="48"/>
    </row>
    <row r="83" spans="1:15" x14ac:dyDescent="0.25">
      <c r="A83" s="48"/>
      <c r="B83" s="1041"/>
      <c r="C83" s="1058"/>
      <c r="D83" s="1041" t="s">
        <v>62</v>
      </c>
      <c r="E83" s="1041"/>
      <c r="F83" s="1041"/>
      <c r="G83" s="1041" t="s">
        <v>62</v>
      </c>
      <c r="H83" s="48"/>
      <c r="I83" s="48"/>
      <c r="J83" s="48"/>
      <c r="K83" s="48"/>
      <c r="L83" s="48"/>
      <c r="M83" s="48"/>
      <c r="N83" s="48"/>
      <c r="O83" s="48"/>
    </row>
    <row r="84" spans="1:15" x14ac:dyDescent="0.25">
      <c r="A84" s="48"/>
      <c r="B84" s="1041"/>
      <c r="C84" s="1058"/>
      <c r="D84" s="1041" t="s">
        <v>62</v>
      </c>
      <c r="E84" s="1041"/>
      <c r="F84" s="1041"/>
      <c r="G84" s="1041" t="s">
        <v>62</v>
      </c>
      <c r="H84" s="48"/>
      <c r="I84" s="48"/>
      <c r="J84" s="48"/>
      <c r="K84" s="48"/>
      <c r="L84" s="48"/>
      <c r="M84" s="48"/>
      <c r="N84" s="48"/>
      <c r="O84" s="48"/>
    </row>
    <row r="85" spans="1:15" x14ac:dyDescent="0.25">
      <c r="A85" s="48"/>
      <c r="B85" s="1041"/>
      <c r="C85" s="1058"/>
      <c r="D85" s="1041" t="s">
        <v>62</v>
      </c>
      <c r="E85" s="1041"/>
      <c r="F85" s="1041"/>
      <c r="G85" s="1041" t="s">
        <v>62</v>
      </c>
      <c r="H85" s="48"/>
      <c r="I85" s="48"/>
      <c r="J85" s="48"/>
      <c r="K85" s="48"/>
      <c r="L85" s="48"/>
      <c r="M85" s="48"/>
      <c r="N85" s="48"/>
      <c r="O85" s="48"/>
    </row>
    <row r="86" spans="1:15" x14ac:dyDescent="0.25">
      <c r="A86" s="48"/>
      <c r="B86" s="1041"/>
      <c r="C86" s="1058"/>
      <c r="D86" s="1041" t="s">
        <v>62</v>
      </c>
      <c r="E86" s="1041"/>
      <c r="F86" s="1041"/>
      <c r="G86" s="1041" t="s">
        <v>62</v>
      </c>
      <c r="H86" s="48"/>
      <c r="I86" s="48"/>
      <c r="J86" s="48"/>
      <c r="K86" s="48"/>
      <c r="L86" s="48"/>
      <c r="M86" s="48"/>
      <c r="N86" s="37" t="s">
        <v>1963</v>
      </c>
      <c r="O86" s="37" t="s">
        <v>1964</v>
      </c>
    </row>
    <row r="87" spans="1:15" x14ac:dyDescent="0.25">
      <c r="A87" s="48"/>
      <c r="B87" s="1041"/>
      <c r="C87" s="1058"/>
      <c r="D87" s="1041" t="s">
        <v>62</v>
      </c>
      <c r="E87" s="1041"/>
      <c r="F87" s="1041"/>
      <c r="G87" s="1041" t="s">
        <v>62</v>
      </c>
      <c r="H87" s="48"/>
      <c r="I87" s="48"/>
      <c r="J87" s="48"/>
      <c r="K87" s="48"/>
      <c r="L87" s="48"/>
      <c r="M87" s="48"/>
      <c r="N87" s="37">
        <f>IF(D67="Method 1",SUM(C73:C87),0)</f>
        <v>0</v>
      </c>
      <c r="O87" s="37">
        <f>IF(D67="Method 1",SUMIF(G73:G87,"Yes",C73:C87),0)</f>
        <v>0</v>
      </c>
    </row>
    <row r="88" spans="1:15" x14ac:dyDescent="0.25">
      <c r="A88" s="48"/>
      <c r="B88" s="49"/>
      <c r="C88" s="49"/>
      <c r="D88" s="49"/>
      <c r="E88" s="49"/>
      <c r="F88" s="48"/>
      <c r="G88" s="48"/>
      <c r="H88" s="48"/>
      <c r="I88" s="48"/>
      <c r="J88" s="48"/>
      <c r="K88" s="48"/>
      <c r="L88" s="48"/>
      <c r="M88" s="48"/>
    </row>
    <row r="89" spans="1:15" x14ac:dyDescent="0.25">
      <c r="A89" s="48"/>
      <c r="B89" s="1064" t="s">
        <v>2195</v>
      </c>
      <c r="C89" s="49"/>
      <c r="D89" s="49"/>
      <c r="E89" s="49"/>
      <c r="F89" s="48"/>
      <c r="G89" s="48"/>
      <c r="H89" s="48"/>
      <c r="I89" s="48"/>
      <c r="J89" s="48"/>
      <c r="K89" s="48"/>
      <c r="L89" s="48"/>
      <c r="M89" s="48"/>
    </row>
    <row r="90" spans="1:15" x14ac:dyDescent="0.25">
      <c r="A90" s="48"/>
      <c r="B90" s="49"/>
      <c r="C90" s="49"/>
      <c r="D90" s="49"/>
      <c r="E90" s="49"/>
      <c r="F90" s="48"/>
      <c r="G90" s="48"/>
      <c r="H90" s="48"/>
      <c r="I90" s="48"/>
      <c r="J90" s="48"/>
      <c r="K90" s="48"/>
      <c r="L90" s="48"/>
      <c r="M90" s="48"/>
    </row>
    <row r="91" spans="1:15" x14ac:dyDescent="0.25">
      <c r="A91" s="48"/>
      <c r="B91" s="671" t="s">
        <v>1938</v>
      </c>
      <c r="C91" s="49"/>
      <c r="D91" s="49"/>
      <c r="E91" s="49"/>
      <c r="F91" s="48"/>
      <c r="G91" s="48"/>
      <c r="H91" s="48"/>
      <c r="I91" s="48"/>
      <c r="J91" s="48"/>
      <c r="K91" s="48"/>
      <c r="L91" s="48"/>
      <c r="M91" s="48"/>
    </row>
    <row r="92" spans="1:15" ht="12" customHeight="1" x14ac:dyDescent="0.25">
      <c r="A92" s="48"/>
      <c r="B92" s="49"/>
      <c r="C92" s="379"/>
      <c r="D92" s="49"/>
      <c r="E92" s="49"/>
      <c r="F92" s="48"/>
      <c r="G92" s="48"/>
      <c r="H92" s="48"/>
      <c r="I92" s="48"/>
      <c r="J92" s="48"/>
      <c r="K92" s="48"/>
      <c r="L92" s="48"/>
      <c r="M92" s="48"/>
    </row>
    <row r="93" spans="1:15" ht="28.5" customHeight="1" x14ac:dyDescent="0.25">
      <c r="A93" s="48"/>
      <c r="B93" s="1034" t="s">
        <v>1654</v>
      </c>
      <c r="C93" s="1071" t="s">
        <v>182</v>
      </c>
      <c r="D93" s="1031" t="s">
        <v>1960</v>
      </c>
      <c r="E93" s="1031" t="s">
        <v>1961</v>
      </c>
      <c r="F93" s="1060" t="s">
        <v>1962</v>
      </c>
      <c r="G93" s="1030" t="s">
        <v>89</v>
      </c>
      <c r="H93" s="48"/>
      <c r="I93" s="48"/>
      <c r="J93" s="48"/>
      <c r="K93" s="48"/>
      <c r="L93" s="48"/>
      <c r="M93" s="48"/>
      <c r="N93" s="48"/>
    </row>
    <row r="94" spans="1:15" x14ac:dyDescent="0.25">
      <c r="A94" s="48"/>
      <c r="B94" s="1025"/>
      <c r="C94" s="1058"/>
      <c r="D94" s="1025" t="s">
        <v>62</v>
      </c>
      <c r="E94" s="1025" t="s">
        <v>62</v>
      </c>
      <c r="F94" s="1025" t="s">
        <v>62</v>
      </c>
      <c r="G94" s="181" t="str">
        <f>IF(AND(E94&lt;&gt;"",F94&lt;&gt;"",D94&lt;&gt;"",E94&lt;&gt;"Select",F94&lt;&gt;"Select",D94&lt;&gt;"Select"),"Yes","No")</f>
        <v>No</v>
      </c>
      <c r="H94" s="48"/>
      <c r="I94" s="48"/>
      <c r="J94" s="48"/>
      <c r="K94" s="48"/>
      <c r="L94" s="48"/>
      <c r="M94" s="48"/>
      <c r="N94" s="48"/>
    </row>
    <row r="95" spans="1:15" x14ac:dyDescent="0.25">
      <c r="A95" s="48"/>
      <c r="B95" s="1041"/>
      <c r="C95" s="1058"/>
      <c r="D95" s="1135" t="s">
        <v>62</v>
      </c>
      <c r="E95" s="1058" t="s">
        <v>62</v>
      </c>
      <c r="F95" s="1058" t="s">
        <v>62</v>
      </c>
      <c r="G95" s="181" t="str">
        <f t="shared" ref="G95:G104" si="3">IF(AND(E95&lt;&gt;"",F95&lt;&gt;"",D95&lt;&gt;"",E95&lt;&gt;"Select",F95&lt;&gt;"Select",D95&lt;&gt;"Select"),"Yes","No")</f>
        <v>No</v>
      </c>
      <c r="H95" s="48"/>
      <c r="I95" s="48"/>
      <c r="J95" s="48"/>
      <c r="K95" s="48"/>
      <c r="L95" s="48"/>
      <c r="M95" s="48"/>
      <c r="N95" s="48"/>
    </row>
    <row r="96" spans="1:15" x14ac:dyDescent="0.25">
      <c r="A96" s="48"/>
      <c r="B96" s="1041"/>
      <c r="C96" s="1058"/>
      <c r="D96" s="1135" t="s">
        <v>62</v>
      </c>
      <c r="E96" s="1058" t="s">
        <v>62</v>
      </c>
      <c r="F96" s="1058" t="s">
        <v>62</v>
      </c>
      <c r="G96" s="181" t="str">
        <f t="shared" si="3"/>
        <v>No</v>
      </c>
      <c r="H96" s="48"/>
      <c r="I96" s="48"/>
      <c r="J96" s="48"/>
      <c r="K96" s="48"/>
      <c r="L96" s="48"/>
      <c r="M96" s="48"/>
      <c r="N96" s="48"/>
    </row>
    <row r="97" spans="1:15" x14ac:dyDescent="0.25">
      <c r="A97" s="48"/>
      <c r="B97" s="1041"/>
      <c r="C97" s="1058"/>
      <c r="D97" s="1135" t="s">
        <v>62</v>
      </c>
      <c r="E97" s="1058" t="s">
        <v>62</v>
      </c>
      <c r="F97" s="1058" t="s">
        <v>62</v>
      </c>
      <c r="G97" s="181" t="str">
        <f t="shared" ref="G97:G100" si="4">IF(AND(E97&lt;&gt;"",F97&lt;&gt;"",D97&lt;&gt;"",E97&lt;&gt;"Select",F97&lt;&gt;"Select",D97&lt;&gt;"Select"),"Yes","No")</f>
        <v>No</v>
      </c>
      <c r="H97" s="48"/>
      <c r="I97" s="48"/>
      <c r="J97" s="48"/>
      <c r="K97" s="48"/>
      <c r="L97" s="48"/>
      <c r="M97" s="48"/>
      <c r="N97" s="48"/>
    </row>
    <row r="98" spans="1:15" x14ac:dyDescent="0.25">
      <c r="A98" s="48"/>
      <c r="B98" s="1041"/>
      <c r="C98" s="1058"/>
      <c r="D98" s="1135" t="s">
        <v>62</v>
      </c>
      <c r="E98" s="1058" t="s">
        <v>62</v>
      </c>
      <c r="F98" s="1058" t="s">
        <v>62</v>
      </c>
      <c r="G98" s="181" t="str">
        <f t="shared" si="4"/>
        <v>No</v>
      </c>
      <c r="H98" s="48"/>
      <c r="I98" s="48"/>
      <c r="J98" s="48"/>
      <c r="K98" s="48"/>
      <c r="L98" s="48"/>
      <c r="M98" s="48"/>
      <c r="N98" s="48"/>
    </row>
    <row r="99" spans="1:15" x14ac:dyDescent="0.25">
      <c r="A99" s="48"/>
      <c r="B99" s="1041"/>
      <c r="C99" s="1058"/>
      <c r="D99" s="1135" t="s">
        <v>62</v>
      </c>
      <c r="E99" s="1058" t="s">
        <v>62</v>
      </c>
      <c r="F99" s="1058" t="s">
        <v>62</v>
      </c>
      <c r="G99" s="181" t="str">
        <f t="shared" si="4"/>
        <v>No</v>
      </c>
      <c r="H99" s="48"/>
      <c r="I99" s="48"/>
      <c r="J99" s="48"/>
      <c r="K99" s="48"/>
      <c r="L99" s="48"/>
      <c r="M99" s="48"/>
      <c r="N99" s="48"/>
    </row>
    <row r="100" spans="1:15" x14ac:dyDescent="0.25">
      <c r="A100" s="48"/>
      <c r="B100" s="1041"/>
      <c r="C100" s="1058"/>
      <c r="D100" s="1135" t="s">
        <v>62</v>
      </c>
      <c r="E100" s="1058" t="s">
        <v>62</v>
      </c>
      <c r="F100" s="1058" t="s">
        <v>62</v>
      </c>
      <c r="G100" s="181" t="str">
        <f t="shared" si="4"/>
        <v>No</v>
      </c>
      <c r="H100" s="48"/>
      <c r="I100" s="48"/>
      <c r="J100" s="48"/>
      <c r="K100" s="48"/>
      <c r="L100" s="48"/>
      <c r="M100" s="48"/>
      <c r="N100" s="48"/>
    </row>
    <row r="101" spans="1:15" x14ac:dyDescent="0.25">
      <c r="A101" s="48"/>
      <c r="B101" s="1041"/>
      <c r="C101" s="1058"/>
      <c r="D101" s="1135" t="s">
        <v>62</v>
      </c>
      <c r="E101" s="1058" t="s">
        <v>62</v>
      </c>
      <c r="F101" s="1058" t="s">
        <v>62</v>
      </c>
      <c r="G101" s="181" t="str">
        <f t="shared" si="3"/>
        <v>No</v>
      </c>
      <c r="H101" s="48"/>
      <c r="I101" s="48"/>
      <c r="J101" s="48"/>
      <c r="K101" s="48"/>
      <c r="L101" s="48"/>
      <c r="M101" s="48"/>
      <c r="N101" s="48"/>
    </row>
    <row r="102" spans="1:15" x14ac:dyDescent="0.25">
      <c r="A102" s="48"/>
      <c r="B102" s="1041"/>
      <c r="C102" s="1058"/>
      <c r="D102" s="1135" t="s">
        <v>62</v>
      </c>
      <c r="E102" s="1058" t="s">
        <v>62</v>
      </c>
      <c r="F102" s="1058" t="s">
        <v>62</v>
      </c>
      <c r="G102" s="181" t="str">
        <f t="shared" si="3"/>
        <v>No</v>
      </c>
      <c r="H102" s="48"/>
      <c r="I102" s="48"/>
      <c r="J102" s="48"/>
      <c r="K102" s="48"/>
      <c r="L102" s="48"/>
      <c r="M102" s="48"/>
      <c r="N102" s="48"/>
    </row>
    <row r="103" spans="1:15" x14ac:dyDescent="0.25">
      <c r="A103" s="48"/>
      <c r="B103" s="1041"/>
      <c r="C103" s="1058"/>
      <c r="D103" s="1135" t="s">
        <v>62</v>
      </c>
      <c r="E103" s="1058" t="s">
        <v>62</v>
      </c>
      <c r="F103" s="1058" t="s">
        <v>62</v>
      </c>
      <c r="G103" s="181" t="str">
        <f t="shared" si="3"/>
        <v>No</v>
      </c>
      <c r="H103" s="48"/>
      <c r="I103" s="48"/>
      <c r="J103" s="48"/>
      <c r="K103" s="48"/>
      <c r="L103" s="48"/>
      <c r="M103" s="48"/>
      <c r="N103" s="48"/>
    </row>
    <row r="104" spans="1:15" x14ac:dyDescent="0.25">
      <c r="A104" s="48"/>
      <c r="B104" s="1041"/>
      <c r="C104" s="1058"/>
      <c r="D104" s="1135" t="s">
        <v>62</v>
      </c>
      <c r="E104" s="1058" t="s">
        <v>62</v>
      </c>
      <c r="F104" s="1058" t="s">
        <v>62</v>
      </c>
      <c r="G104" s="181" t="str">
        <f t="shared" si="3"/>
        <v>No</v>
      </c>
      <c r="H104" s="48"/>
      <c r="I104" s="48"/>
      <c r="J104" s="48"/>
      <c r="K104" s="48"/>
      <c r="L104" s="48"/>
      <c r="M104" s="48"/>
      <c r="N104" s="48"/>
    </row>
    <row r="105" spans="1:15" x14ac:dyDescent="0.25">
      <c r="A105" s="48"/>
      <c r="B105" s="1025"/>
      <c r="C105" s="1058"/>
      <c r="D105" s="1135" t="s">
        <v>62</v>
      </c>
      <c r="E105" s="1058" t="s">
        <v>62</v>
      </c>
      <c r="F105" s="1058" t="s">
        <v>62</v>
      </c>
      <c r="G105" s="181" t="str">
        <f t="shared" ref="G105:G108" si="5">IF(AND(E105&lt;&gt;"",F105&lt;&gt;"",D105&lt;&gt;"",E105&lt;&gt;"Select",F105&lt;&gt;"Select",D105&lt;&gt;"Select"),"Yes","No")</f>
        <v>No</v>
      </c>
      <c r="H105" s="48"/>
      <c r="I105" s="48"/>
      <c r="J105" s="48"/>
      <c r="K105" s="48"/>
      <c r="L105" s="48"/>
      <c r="M105" s="48"/>
      <c r="N105" s="48"/>
    </row>
    <row r="106" spans="1:15" x14ac:dyDescent="0.25">
      <c r="A106" s="48"/>
      <c r="B106" s="1025"/>
      <c r="C106" s="1058"/>
      <c r="D106" s="1135" t="s">
        <v>62</v>
      </c>
      <c r="E106" s="1058" t="s">
        <v>62</v>
      </c>
      <c r="F106" s="1058" t="s">
        <v>62</v>
      </c>
      <c r="G106" s="181" t="str">
        <f t="shared" si="5"/>
        <v>No</v>
      </c>
      <c r="H106" s="48"/>
      <c r="I106" s="48"/>
      <c r="J106" s="48"/>
      <c r="K106" s="48"/>
      <c r="L106" s="48"/>
      <c r="M106" s="48"/>
      <c r="N106" s="48"/>
    </row>
    <row r="107" spans="1:15" x14ac:dyDescent="0.25">
      <c r="A107" s="48"/>
      <c r="B107" s="1025"/>
      <c r="C107" s="1058"/>
      <c r="D107" s="1135" t="s">
        <v>62</v>
      </c>
      <c r="E107" s="1058" t="s">
        <v>62</v>
      </c>
      <c r="F107" s="1058" t="s">
        <v>62</v>
      </c>
      <c r="G107" s="181" t="str">
        <f t="shared" si="5"/>
        <v>No</v>
      </c>
      <c r="H107" s="541"/>
      <c r="I107" s="541"/>
      <c r="J107" s="541"/>
      <c r="K107" s="541"/>
      <c r="L107" s="48"/>
      <c r="M107" s="48"/>
      <c r="N107" s="37" t="s">
        <v>1963</v>
      </c>
      <c r="O107" s="37" t="s">
        <v>1964</v>
      </c>
    </row>
    <row r="108" spans="1:15" x14ac:dyDescent="0.25">
      <c r="A108" s="48"/>
      <c r="B108" s="1025"/>
      <c r="C108" s="1058"/>
      <c r="D108" s="1135" t="s">
        <v>62</v>
      </c>
      <c r="E108" s="1058" t="s">
        <v>62</v>
      </c>
      <c r="F108" s="1058" t="s">
        <v>62</v>
      </c>
      <c r="G108" s="181" t="str">
        <f t="shared" si="5"/>
        <v>No</v>
      </c>
      <c r="H108" s="397"/>
      <c r="I108" s="397"/>
      <c r="J108" s="397"/>
      <c r="K108" s="397"/>
      <c r="L108" s="48"/>
      <c r="M108" s="48"/>
      <c r="N108" s="37">
        <f>IF(D67="Method 2",SUM(C94:C108),0)</f>
        <v>0</v>
      </c>
      <c r="O108" s="37">
        <f>IF(D67="Method 2",SUMIF(G94:G108,"Yes",C94:C108),0)</f>
        <v>0</v>
      </c>
    </row>
    <row r="109" spans="1:15" ht="15" customHeight="1" x14ac:dyDescent="0.25">
      <c r="A109" s="48"/>
      <c r="B109" s="290"/>
      <c r="C109" s="975"/>
      <c r="D109" s="975"/>
      <c r="E109" s="975"/>
      <c r="F109" s="975"/>
      <c r="G109" s="975"/>
      <c r="H109" s="975"/>
      <c r="I109" s="975"/>
      <c r="J109" s="975"/>
      <c r="K109" s="48"/>
      <c r="L109" s="48"/>
      <c r="M109" s="48"/>
    </row>
    <row r="110" spans="1:15" ht="18" customHeight="1" x14ac:dyDescent="0.25">
      <c r="A110" s="48"/>
      <c r="B110" s="2128" t="s">
        <v>2197</v>
      </c>
      <c r="C110" s="2129"/>
      <c r="D110" s="2129"/>
      <c r="E110" s="2130"/>
      <c r="F110" s="70">
        <f>IFERROR((O108+O87)/(N87+N108),0)</f>
        <v>0</v>
      </c>
      <c r="G110" s="1149"/>
      <c r="H110" s="1149"/>
      <c r="I110" s="1149"/>
      <c r="J110" s="1149"/>
      <c r="K110" s="48"/>
      <c r="L110" s="48"/>
      <c r="M110" s="48"/>
    </row>
    <row r="111" spans="1:15" ht="15" customHeight="1" x14ac:dyDescent="0.25">
      <c r="A111" s="48"/>
      <c r="B111" s="290"/>
      <c r="C111" s="1149"/>
      <c r="D111" s="1149"/>
      <c r="E111" s="1149"/>
      <c r="F111" s="1149"/>
      <c r="G111" s="1149"/>
      <c r="H111" s="1149"/>
      <c r="I111" s="1149"/>
      <c r="J111" s="1149"/>
      <c r="K111" s="48"/>
      <c r="L111" s="48"/>
      <c r="M111" s="48"/>
    </row>
    <row r="112" spans="1:15" ht="18" customHeight="1" x14ac:dyDescent="0.25">
      <c r="A112" s="48"/>
      <c r="B112" s="394" t="s">
        <v>2198</v>
      </c>
      <c r="C112" s="1149"/>
      <c r="D112" s="1149"/>
      <c r="E112" s="1149"/>
      <c r="F112" s="1149"/>
      <c r="G112" s="1149"/>
      <c r="H112" s="1149"/>
      <c r="I112" s="1149"/>
      <c r="J112" s="1149"/>
      <c r="K112" s="48"/>
      <c r="L112" s="48"/>
      <c r="M112" s="48"/>
    </row>
    <row r="113" spans="1:16" ht="9" customHeight="1" x14ac:dyDescent="0.25">
      <c r="A113" s="48"/>
      <c r="B113" s="290"/>
      <c r="C113" s="1149"/>
      <c r="D113" s="1149"/>
      <c r="E113" s="1149"/>
      <c r="F113" s="1149"/>
      <c r="G113" s="1149"/>
      <c r="H113" s="1149"/>
      <c r="I113" s="1149"/>
      <c r="J113" s="1149"/>
      <c r="K113" s="48"/>
      <c r="L113" s="48"/>
      <c r="M113" s="48"/>
    </row>
    <row r="114" spans="1:16" ht="19.5" customHeight="1" x14ac:dyDescent="0.25">
      <c r="A114" s="48"/>
      <c r="B114" s="2102" t="s">
        <v>2199</v>
      </c>
      <c r="C114" s="2102"/>
      <c r="D114" s="70">
        <f>IFERROR((O108+O87+O49)/(N49+N87+N108),0)</f>
        <v>0</v>
      </c>
      <c r="E114" s="975"/>
      <c r="F114" s="975"/>
      <c r="G114" s="975"/>
      <c r="H114" s="975"/>
      <c r="I114" s="975"/>
      <c r="J114" s="975"/>
      <c r="K114" s="48"/>
      <c r="L114" s="48"/>
      <c r="M114" s="48"/>
    </row>
    <row r="115" spans="1:16" ht="18" customHeight="1" x14ac:dyDescent="0.25">
      <c r="A115" s="48"/>
      <c r="B115" s="290"/>
      <c r="C115" s="1037"/>
      <c r="D115" s="1037"/>
      <c r="E115" s="1037"/>
      <c r="F115" s="1037"/>
      <c r="G115" s="1037"/>
      <c r="H115" s="1037"/>
      <c r="I115" s="1037"/>
      <c r="J115" s="1037"/>
      <c r="K115" s="48"/>
      <c r="L115" s="48"/>
      <c r="M115" s="48"/>
    </row>
    <row r="116" spans="1:16" ht="17.25" customHeight="1" x14ac:dyDescent="0.25">
      <c r="A116" s="2115" t="s">
        <v>97</v>
      </c>
      <c r="B116" s="2115"/>
      <c r="C116" s="2115"/>
      <c r="D116" s="49"/>
      <c r="E116" s="49"/>
      <c r="F116" s="49"/>
      <c r="G116" s="49"/>
      <c r="H116" s="49"/>
      <c r="I116" s="49"/>
      <c r="J116" s="49"/>
      <c r="K116" s="49"/>
      <c r="L116" s="49"/>
      <c r="M116" s="49"/>
      <c r="N116" s="49"/>
    </row>
    <row r="117" spans="1:16" x14ac:dyDescent="0.25">
      <c r="A117" s="49"/>
      <c r="B117" s="49"/>
      <c r="C117" s="49"/>
      <c r="D117" s="49"/>
      <c r="E117" s="49"/>
      <c r="F117" s="49"/>
      <c r="G117" s="49"/>
      <c r="H117" s="49"/>
      <c r="I117" s="49"/>
      <c r="J117" s="49"/>
      <c r="K117" s="49"/>
      <c r="L117" s="49"/>
      <c r="M117" s="49"/>
      <c r="N117" s="49"/>
    </row>
    <row r="118" spans="1:16" ht="21" customHeight="1" x14ac:dyDescent="0.25">
      <c r="A118" s="49"/>
      <c r="B118" s="2093" t="s">
        <v>2677</v>
      </c>
      <c r="C118" s="2094"/>
      <c r="D118" s="2094"/>
      <c r="E118" s="2094"/>
      <c r="F118" s="2094"/>
      <c r="G118" s="256" t="s">
        <v>1297</v>
      </c>
      <c r="H118" s="2095" t="s">
        <v>1298</v>
      </c>
      <c r="I118" s="2095"/>
      <c r="J118" s="49"/>
      <c r="K118" s="49"/>
      <c r="L118" s="49"/>
      <c r="M118" s="49"/>
      <c r="N118" s="49"/>
    </row>
    <row r="119" spans="1:16" ht="25.5" customHeight="1" x14ac:dyDescent="0.25">
      <c r="A119" s="49"/>
      <c r="B119" s="1644" t="str">
        <f>Submittals!H132</f>
        <v>Select the Submission Stage in Project Information</v>
      </c>
      <c r="C119" s="1645"/>
      <c r="D119" s="1645"/>
      <c r="E119" s="1645"/>
      <c r="F119" s="1645"/>
      <c r="G119" s="827" t="s">
        <v>62</v>
      </c>
      <c r="H119" s="1625"/>
      <c r="I119" s="1626"/>
      <c r="J119" s="49"/>
      <c r="K119" s="49"/>
      <c r="L119" s="49"/>
      <c r="M119" s="49"/>
      <c r="N119" s="37" t="str">
        <f>IF(AND(D27&lt;&gt;"Yes",D28&lt;&gt;"Yes"),"Yes",IF(OR(B119="/",B119="No evidence required at this submission stage"),"Yes",IF(G119="Submitted","Yes","No")))</f>
        <v>Yes</v>
      </c>
    </row>
    <row r="120" spans="1:16" ht="25.5" customHeight="1" x14ac:dyDescent="0.25">
      <c r="A120" s="49"/>
      <c r="B120" s="1644" t="str">
        <f>Submittals!H133</f>
        <v>Select the Submission Stage in Project Information</v>
      </c>
      <c r="C120" s="1645"/>
      <c r="D120" s="1645"/>
      <c r="E120" s="1645"/>
      <c r="F120" s="1645"/>
      <c r="G120" s="827" t="s">
        <v>62</v>
      </c>
      <c r="H120" s="1625"/>
      <c r="I120" s="1626"/>
      <c r="J120" s="49"/>
      <c r="K120" s="49"/>
      <c r="L120" s="49"/>
      <c r="M120" s="49"/>
      <c r="N120" s="37" t="str">
        <f>IF(AND(D27&lt;&gt;"Yes",D28&lt;&gt;"Yes"),"Yes",IF(OR(B120="/",B120="No evidence required at this submission stage"),"Yes",IF(G120="Submitted","Yes","No")))</f>
        <v>Yes</v>
      </c>
    </row>
    <row r="121" spans="1:16" customFormat="1" ht="19.5" customHeight="1" x14ac:dyDescent="0.25">
      <c r="A121" s="49"/>
      <c r="B121" s="49"/>
      <c r="C121" s="49"/>
      <c r="D121" s="49"/>
      <c r="E121" s="49"/>
      <c r="F121" s="49"/>
      <c r="G121" s="49"/>
      <c r="H121" s="49"/>
      <c r="I121" s="49"/>
      <c r="J121" s="49"/>
      <c r="K121" s="49"/>
      <c r="L121" s="49"/>
      <c r="M121" s="49"/>
      <c r="N121" s="49"/>
      <c r="O121" s="37"/>
      <c r="P121" s="37"/>
    </row>
    <row r="122" spans="1:16" ht="21" customHeight="1" x14ac:dyDescent="0.25">
      <c r="A122" s="49"/>
      <c r="B122" s="2093" t="s">
        <v>2678</v>
      </c>
      <c r="C122" s="2094"/>
      <c r="D122" s="2094"/>
      <c r="E122" s="2094"/>
      <c r="F122" s="2094"/>
      <c r="G122" s="1288" t="s">
        <v>1297</v>
      </c>
      <c r="H122" s="2095" t="s">
        <v>1298</v>
      </c>
      <c r="I122" s="2095"/>
      <c r="J122" s="49"/>
      <c r="K122" s="49"/>
      <c r="L122" s="49"/>
      <c r="M122" s="49"/>
      <c r="N122" s="49"/>
    </row>
    <row r="123" spans="1:16" ht="42" customHeight="1" x14ac:dyDescent="0.25">
      <c r="A123" s="49"/>
      <c r="B123" s="1644" t="str">
        <f>Submittals!H134</f>
        <v>Select the Submission Stage in Project Information</v>
      </c>
      <c r="C123" s="1645"/>
      <c r="D123" s="1645"/>
      <c r="E123" s="1645"/>
      <c r="F123" s="1645"/>
      <c r="G123" s="1286" t="s">
        <v>62</v>
      </c>
      <c r="H123" s="1625"/>
      <c r="I123" s="1626"/>
      <c r="J123" s="49"/>
      <c r="K123" s="49"/>
      <c r="L123" s="49"/>
      <c r="M123" s="49"/>
      <c r="N123" s="37" t="str">
        <f>IF(D26&lt;&gt;"Yes","Yes",IF(OR(B123="/",B123="No evidence required at this submission stage"),"Yes",IF(OR(G123="Already approved at PC",G123="Submitted"),"Yes","No")))</f>
        <v>Yes</v>
      </c>
    </row>
    <row r="124" spans="1:16" ht="42" customHeight="1" x14ac:dyDescent="0.25">
      <c r="A124" s="49"/>
      <c r="B124" s="1644" t="str">
        <f>Submittals!H135</f>
        <v>Select the Submission Stage in Project Information</v>
      </c>
      <c r="C124" s="1645"/>
      <c r="D124" s="1645"/>
      <c r="E124" s="1645"/>
      <c r="F124" s="1645"/>
      <c r="G124" s="1286" t="s">
        <v>62</v>
      </c>
      <c r="H124" s="1625"/>
      <c r="I124" s="1626"/>
      <c r="J124" s="49"/>
      <c r="K124" s="49"/>
      <c r="L124" s="49"/>
      <c r="M124" s="49"/>
      <c r="N124" s="37" t="str">
        <f>IF(D26&lt;&gt;"Yes","Yes",IF(OR(B124="/",B124="No evidence required at this submission stage"),"Yes",IF(OR(G124="Already approved at PC",G124="Submitted"),"Yes","No")))</f>
        <v>Yes</v>
      </c>
    </row>
    <row r="125" spans="1:16" customFormat="1" ht="19.5" customHeight="1" x14ac:dyDescent="0.25">
      <c r="A125" s="49"/>
      <c r="B125" s="49"/>
      <c r="C125" s="49"/>
      <c r="D125" s="49"/>
      <c r="E125" s="49"/>
      <c r="F125" s="49"/>
      <c r="G125" s="49"/>
      <c r="H125" s="49"/>
      <c r="I125" s="49"/>
      <c r="J125" s="49"/>
      <c r="K125" s="49"/>
      <c r="L125" s="49"/>
      <c r="M125" s="49"/>
      <c r="N125" s="49"/>
      <c r="O125" s="37"/>
      <c r="P125" s="37"/>
    </row>
    <row r="126" spans="1:16" ht="17.25" customHeight="1" x14ac:dyDescent="0.25">
      <c r="A126" s="2115" t="s">
        <v>8</v>
      </c>
      <c r="B126" s="2115"/>
      <c r="C126" s="2115"/>
      <c r="D126" s="49"/>
      <c r="E126" s="49"/>
      <c r="F126" s="49"/>
      <c r="G126" s="49"/>
      <c r="H126" s="49"/>
      <c r="I126" s="49"/>
      <c r="J126" s="49"/>
      <c r="K126" s="49"/>
      <c r="L126" s="49"/>
      <c r="M126" s="49"/>
      <c r="N126" s="49"/>
    </row>
    <row r="127" spans="1:16" x14ac:dyDescent="0.25">
      <c r="A127" s="49"/>
      <c r="B127" s="49"/>
      <c r="C127" s="49"/>
      <c r="D127" s="49"/>
      <c r="E127" s="49"/>
      <c r="F127" s="49"/>
      <c r="G127" s="49"/>
      <c r="H127" s="49"/>
      <c r="I127" s="49"/>
      <c r="J127" s="49"/>
      <c r="K127" s="49"/>
      <c r="L127" s="49"/>
      <c r="M127" s="49"/>
      <c r="N127" s="49"/>
    </row>
    <row r="128" spans="1:16" ht="18" customHeight="1" x14ac:dyDescent="0.25">
      <c r="A128" s="49"/>
      <c r="B128" s="145" t="s">
        <v>19</v>
      </c>
      <c r="C128" s="8">
        <f>IF(D114&gt;=0.95,2,0)</f>
        <v>0</v>
      </c>
      <c r="D128" s="49"/>
      <c r="E128" s="49"/>
      <c r="F128" s="49"/>
      <c r="G128" s="49"/>
      <c r="H128" s="49"/>
      <c r="I128" s="49"/>
      <c r="J128" s="49"/>
      <c r="K128" s="49"/>
      <c r="L128" s="49"/>
      <c r="M128" s="49"/>
      <c r="N128" s="49"/>
    </row>
    <row r="129" spans="1:20" ht="18" customHeight="1" x14ac:dyDescent="0.25">
      <c r="A129" s="49"/>
      <c r="B129" s="146" t="s">
        <v>151</v>
      </c>
      <c r="C129" s="7" t="str">
        <f>IF(AND(COUNTIF(N119:N124,"Yes")=4,C128&gt;0),"Yes","No")</f>
        <v>No</v>
      </c>
      <c r="D129" s="49"/>
      <c r="E129" s="49"/>
      <c r="F129" s="49"/>
      <c r="G129" s="49"/>
      <c r="H129" s="49"/>
      <c r="I129" s="49"/>
      <c r="J129" s="49"/>
      <c r="K129" s="49"/>
      <c r="L129" s="49"/>
      <c r="M129" s="49"/>
      <c r="N129" s="49"/>
    </row>
    <row r="130" spans="1:20" ht="22.5" customHeight="1" x14ac:dyDescent="0.25">
      <c r="A130" s="49"/>
      <c r="B130" s="49"/>
      <c r="C130" s="49"/>
      <c r="D130" s="49"/>
      <c r="E130" s="49"/>
      <c r="F130" s="49"/>
      <c r="G130" s="49"/>
      <c r="H130" s="49"/>
      <c r="I130" s="49"/>
      <c r="J130" s="49"/>
      <c r="K130" s="49"/>
      <c r="L130" s="49"/>
      <c r="M130" s="49"/>
      <c r="N130" s="49"/>
    </row>
    <row r="131" spans="1:20" ht="18" customHeight="1" x14ac:dyDescent="0.25">
      <c r="A131" s="2092" t="s">
        <v>1149</v>
      </c>
      <c r="B131" s="2092"/>
      <c r="C131" s="2092"/>
      <c r="D131" s="2092"/>
      <c r="E131" s="2092"/>
      <c r="F131" s="2092"/>
      <c r="G131" s="2092"/>
      <c r="H131" s="2092"/>
      <c r="I131" s="2092"/>
      <c r="J131" s="2092"/>
      <c r="K131" s="2092"/>
      <c r="L131" s="2092"/>
      <c r="M131" s="2092"/>
    </row>
    <row r="132" spans="1:20" x14ac:dyDescent="0.25">
      <c r="A132" s="48"/>
      <c r="B132" s="49"/>
      <c r="C132" s="49"/>
      <c r="D132" s="49"/>
      <c r="E132" s="49"/>
      <c r="F132" s="48"/>
      <c r="G132" s="48"/>
      <c r="H132" s="48"/>
      <c r="I132" s="48"/>
      <c r="J132" s="48"/>
      <c r="K132" s="48"/>
      <c r="L132" s="48"/>
      <c r="M132" s="48"/>
      <c r="N132" s="48"/>
    </row>
    <row r="133" spans="1:20" ht="17.25" customHeight="1" x14ac:dyDescent="0.25">
      <c r="A133" s="2115" t="s">
        <v>117</v>
      </c>
      <c r="B133" s="2115"/>
      <c r="C133" s="2115"/>
      <c r="D133" s="49"/>
      <c r="E133" s="49"/>
      <c r="F133" s="49"/>
      <c r="G133" s="49"/>
      <c r="H133" s="49"/>
      <c r="I133" s="49"/>
      <c r="J133" s="49"/>
      <c r="K133" s="49"/>
      <c r="L133" s="49"/>
      <c r="M133" s="49"/>
      <c r="N133" s="49"/>
    </row>
    <row r="134" spans="1:20" x14ac:dyDescent="0.25">
      <c r="A134" s="48"/>
      <c r="B134" s="48"/>
      <c r="C134" s="48"/>
      <c r="D134" s="48"/>
      <c r="E134" s="48"/>
      <c r="F134" s="48"/>
      <c r="G134" s="48"/>
      <c r="H134" s="48"/>
      <c r="I134" s="48"/>
      <c r="J134" s="48"/>
      <c r="K134" s="48"/>
      <c r="L134" s="48"/>
      <c r="M134" s="48"/>
      <c r="N134" s="48"/>
    </row>
    <row r="135" spans="1:20" ht="42.75" customHeight="1" x14ac:dyDescent="0.25">
      <c r="A135" s="48"/>
      <c r="B135" s="2293" t="s">
        <v>1653</v>
      </c>
      <c r="C135" s="2241"/>
      <c r="D135" s="2241"/>
      <c r="E135" s="2241"/>
      <c r="F135" s="2241"/>
      <c r="G135" s="2241"/>
      <c r="H135" s="2241"/>
      <c r="I135" s="2241"/>
      <c r="J135" s="2241"/>
      <c r="K135" s="48"/>
      <c r="L135" s="48"/>
      <c r="M135" s="48"/>
      <c r="N135" s="48"/>
    </row>
    <row r="136" spans="1:20" x14ac:dyDescent="0.25">
      <c r="A136" s="48"/>
      <c r="B136" s="48"/>
      <c r="C136" s="48"/>
      <c r="D136" s="48"/>
      <c r="E136" s="48"/>
      <c r="F136" s="48"/>
      <c r="G136" s="48"/>
      <c r="H136" s="48"/>
      <c r="I136" s="48"/>
      <c r="J136" s="48"/>
      <c r="K136" s="48"/>
      <c r="L136" s="48"/>
      <c r="M136" s="48"/>
      <c r="N136" s="48"/>
    </row>
    <row r="137" spans="1:20" x14ac:dyDescent="0.25">
      <c r="A137" s="48"/>
      <c r="B137" s="680" t="s">
        <v>1651</v>
      </c>
      <c r="C137" s="49"/>
      <c r="D137" s="49"/>
      <c r="E137" s="49"/>
      <c r="F137" s="48"/>
      <c r="G137" s="48"/>
      <c r="H137" s="48"/>
      <c r="I137" s="48"/>
      <c r="J137" s="48"/>
      <c r="K137" s="48"/>
      <c r="L137" s="48"/>
      <c r="M137" s="48"/>
    </row>
    <row r="138" spans="1:20" ht="18.75" customHeight="1" x14ac:dyDescent="0.25">
      <c r="A138" s="48"/>
      <c r="B138" s="49"/>
      <c r="C138" s="49"/>
      <c r="D138" s="49"/>
      <c r="E138" s="49"/>
      <c r="F138" s="48"/>
      <c r="G138" s="48"/>
      <c r="H138" s="48"/>
      <c r="I138" s="48"/>
      <c r="J138" s="48"/>
      <c r="K138" s="48"/>
      <c r="L138" s="48"/>
      <c r="M138" s="48"/>
    </row>
    <row r="139" spans="1:20" ht="17.25" customHeight="1" x14ac:dyDescent="0.25">
      <c r="A139" s="49"/>
      <c r="B139" s="671" t="s">
        <v>1222</v>
      </c>
      <c r="C139" s="49"/>
      <c r="D139" s="49"/>
      <c r="E139" s="49"/>
      <c r="F139" s="49"/>
      <c r="G139" s="49"/>
      <c r="H139" s="49"/>
      <c r="I139" s="49"/>
      <c r="J139" s="49"/>
      <c r="K139" s="49"/>
      <c r="L139" s="49"/>
      <c r="M139" s="49"/>
      <c r="N139" s="49"/>
    </row>
    <row r="140" spans="1:20" ht="12.75" customHeight="1" x14ac:dyDescent="0.25">
      <c r="A140" s="49"/>
      <c r="B140" s="49"/>
      <c r="C140" s="48"/>
      <c r="D140" s="48"/>
      <c r="E140" s="48"/>
      <c r="F140" s="48"/>
      <c r="G140" s="48"/>
      <c r="H140" s="48"/>
      <c r="I140" s="48"/>
      <c r="J140" s="48"/>
      <c r="K140" s="48"/>
      <c r="L140" s="48"/>
      <c r="M140" s="48"/>
      <c r="N140" s="48"/>
    </row>
    <row r="141" spans="1:20" ht="27" customHeight="1" x14ac:dyDescent="0.25">
      <c r="A141" s="49"/>
      <c r="B141" s="929" t="s">
        <v>1654</v>
      </c>
      <c r="C141" s="1071" t="s">
        <v>182</v>
      </c>
      <c r="D141" s="927" t="s">
        <v>1655</v>
      </c>
      <c r="E141" s="927" t="s">
        <v>1657</v>
      </c>
      <c r="F141" s="927" t="s">
        <v>1656</v>
      </c>
      <c r="G141" s="2110" t="s">
        <v>15</v>
      </c>
      <c r="H141" s="2114"/>
      <c r="I141" s="667"/>
      <c r="J141" s="48"/>
      <c r="K141" s="48"/>
      <c r="L141" s="48"/>
      <c r="M141" s="48"/>
      <c r="N141" s="48"/>
      <c r="O141" s="2294" t="s">
        <v>2102</v>
      </c>
      <c r="P141" s="2294"/>
      <c r="Q141" s="2294"/>
      <c r="R141" s="2295" t="s">
        <v>2103</v>
      </c>
      <c r="S141" s="2295"/>
      <c r="T141" s="2295"/>
    </row>
    <row r="142" spans="1:20" ht="15.75" customHeight="1" x14ac:dyDescent="0.25">
      <c r="A142" s="49"/>
      <c r="B142" s="919"/>
      <c r="C142" s="1125"/>
      <c r="D142" s="1126" t="s">
        <v>62</v>
      </c>
      <c r="E142" s="1126" t="s">
        <v>62</v>
      </c>
      <c r="F142" s="1126" t="s">
        <v>62</v>
      </c>
      <c r="G142" s="1625"/>
      <c r="H142" s="1626"/>
      <c r="I142" s="48"/>
      <c r="J142" s="48"/>
      <c r="K142" s="48"/>
      <c r="L142" s="48"/>
      <c r="M142" s="48"/>
      <c r="N142" s="48"/>
      <c r="O142" s="48" t="str">
        <f>IF(B142&lt;&gt;"",IF(AND(D142="individual occupancy",E142="Yes",F142&lt;&gt;"Select"),"Yes","No"),"-")</f>
        <v>-</v>
      </c>
      <c r="P142" s="37">
        <f>IF(D142="individual occupancy",C142,0)</f>
        <v>0</v>
      </c>
      <c r="Q142" s="37">
        <f>IF(O142="Yes",C142,0)</f>
        <v>0</v>
      </c>
      <c r="R142" s="48" t="str">
        <f>IF(B142&lt;&gt;"",IF(D142="multi-occupant","Yes","No"),"-")</f>
        <v>-</v>
      </c>
      <c r="S142" s="37" t="str">
        <f>IF(B142&lt;&gt;"",IF(AND(D142="multi-occupant",E142="Yes",F142&lt;&gt;"Select"),"Yes","No"),"-")</f>
        <v>-</v>
      </c>
      <c r="T142" s="37" t="str">
        <f>IF(AND(R142="Yes",S142="No"),"No","Yes")</f>
        <v>Yes</v>
      </c>
    </row>
    <row r="143" spans="1:20" ht="15.75" customHeight="1" x14ac:dyDescent="0.25">
      <c r="A143" s="49"/>
      <c r="B143" s="919"/>
      <c r="C143" s="1125"/>
      <c r="D143" s="1126" t="s">
        <v>62</v>
      </c>
      <c r="E143" s="1126" t="s">
        <v>62</v>
      </c>
      <c r="F143" s="1126" t="s">
        <v>62</v>
      </c>
      <c r="G143" s="1625"/>
      <c r="H143" s="1626"/>
      <c r="I143" s="48"/>
      <c r="J143" s="48"/>
      <c r="K143" s="48"/>
      <c r="L143" s="48"/>
      <c r="M143" s="48"/>
      <c r="N143" s="48"/>
      <c r="O143" s="48" t="str">
        <f t="shared" ref="O143:O156" si="6">IF(B143&lt;&gt;"",IF(AND(D143="individual occupancy",E143="Yes",F143&lt;&gt;"Select"),"Yes","No"),"-")</f>
        <v>-</v>
      </c>
      <c r="P143" s="37">
        <f t="shared" ref="P143:P156" si="7">IF(D143="individual occupancy",C143,0)</f>
        <v>0</v>
      </c>
      <c r="Q143" s="37">
        <f t="shared" ref="Q143:Q156" si="8">IF(O143="Yes",C143,0)</f>
        <v>0</v>
      </c>
      <c r="R143" s="48" t="str">
        <f t="shared" ref="R143:R156" si="9">IF(B143&lt;&gt;"",IF(D143="multi-occupant","Yes","No"),"-")</f>
        <v>-</v>
      </c>
      <c r="S143" s="37" t="str">
        <f t="shared" ref="S143:S156" si="10">IF(B143&lt;&gt;"",IF(AND(D143="multi-occupant",E143="Yes",F143&lt;&gt;"Select"),"Yes","No"),"-")</f>
        <v>-</v>
      </c>
      <c r="T143" s="37" t="str">
        <f t="shared" ref="T143:T156" si="11">IF(AND(R143="Yes",S143="No"),"No","Yes")</f>
        <v>Yes</v>
      </c>
    </row>
    <row r="144" spans="1:20" ht="15.75" customHeight="1" x14ac:dyDescent="0.25">
      <c r="A144" s="49"/>
      <c r="B144" s="919"/>
      <c r="C144" s="1125"/>
      <c r="D144" s="1126" t="s">
        <v>62</v>
      </c>
      <c r="E144" s="1126" t="s">
        <v>62</v>
      </c>
      <c r="F144" s="1126" t="s">
        <v>62</v>
      </c>
      <c r="G144" s="1684"/>
      <c r="H144" s="2239"/>
      <c r="I144" s="48"/>
      <c r="J144" s="48"/>
      <c r="K144" s="48"/>
      <c r="L144" s="48"/>
      <c r="M144" s="48"/>
      <c r="N144" s="48"/>
      <c r="O144" s="48" t="str">
        <f t="shared" si="6"/>
        <v>-</v>
      </c>
      <c r="P144" s="37">
        <f t="shared" si="7"/>
        <v>0</v>
      </c>
      <c r="Q144" s="37">
        <f t="shared" si="8"/>
        <v>0</v>
      </c>
      <c r="R144" s="48" t="str">
        <f t="shared" si="9"/>
        <v>-</v>
      </c>
      <c r="S144" s="37" t="str">
        <f t="shared" si="10"/>
        <v>-</v>
      </c>
      <c r="T144" s="37" t="str">
        <f t="shared" si="11"/>
        <v>Yes</v>
      </c>
    </row>
    <row r="145" spans="1:20" ht="15.75" customHeight="1" x14ac:dyDescent="0.25">
      <c r="A145" s="48"/>
      <c r="B145" s="919"/>
      <c r="C145" s="1125"/>
      <c r="D145" s="928" t="s">
        <v>62</v>
      </c>
      <c r="E145" s="928" t="s">
        <v>62</v>
      </c>
      <c r="F145" s="928" t="s">
        <v>62</v>
      </c>
      <c r="G145" s="1684"/>
      <c r="H145" s="2239"/>
      <c r="I145" s="48"/>
      <c r="J145" s="48"/>
      <c r="K145" s="48"/>
      <c r="L145" s="48"/>
      <c r="M145" s="48"/>
      <c r="N145" s="48"/>
      <c r="O145" s="48" t="str">
        <f t="shared" si="6"/>
        <v>-</v>
      </c>
      <c r="P145" s="37">
        <f t="shared" si="7"/>
        <v>0</v>
      </c>
      <c r="Q145" s="37">
        <f t="shared" si="8"/>
        <v>0</v>
      </c>
      <c r="R145" s="48" t="str">
        <f t="shared" si="9"/>
        <v>-</v>
      </c>
      <c r="S145" s="37" t="str">
        <f t="shared" si="10"/>
        <v>-</v>
      </c>
      <c r="T145" s="37" t="str">
        <f t="shared" si="11"/>
        <v>Yes</v>
      </c>
    </row>
    <row r="146" spans="1:20" ht="15.75" customHeight="1" x14ac:dyDescent="0.25">
      <c r="A146" s="48"/>
      <c r="B146" s="919"/>
      <c r="C146" s="1125"/>
      <c r="D146" s="928" t="s">
        <v>62</v>
      </c>
      <c r="E146" s="928" t="s">
        <v>62</v>
      </c>
      <c r="F146" s="928" t="s">
        <v>62</v>
      </c>
      <c r="G146" s="1625"/>
      <c r="H146" s="1626"/>
      <c r="I146" s="541"/>
      <c r="J146" s="541"/>
      <c r="K146" s="541"/>
      <c r="L146" s="48"/>
      <c r="M146" s="48"/>
      <c r="N146" s="48"/>
      <c r="O146" s="48" t="str">
        <f t="shared" si="6"/>
        <v>-</v>
      </c>
      <c r="P146" s="37">
        <f t="shared" si="7"/>
        <v>0</v>
      </c>
      <c r="Q146" s="37">
        <f t="shared" si="8"/>
        <v>0</v>
      </c>
      <c r="R146" s="48" t="str">
        <f t="shared" si="9"/>
        <v>-</v>
      </c>
      <c r="S146" s="37" t="str">
        <f t="shared" si="10"/>
        <v>-</v>
      </c>
      <c r="T146" s="37" t="str">
        <f t="shared" si="11"/>
        <v>Yes</v>
      </c>
    </row>
    <row r="147" spans="1:20" ht="15.75" customHeight="1" x14ac:dyDescent="0.25">
      <c r="A147" s="48"/>
      <c r="B147" s="919"/>
      <c r="C147" s="1125"/>
      <c r="D147" s="928" t="s">
        <v>62</v>
      </c>
      <c r="E147" s="928" t="s">
        <v>62</v>
      </c>
      <c r="F147" s="928" t="s">
        <v>62</v>
      </c>
      <c r="G147" s="1625"/>
      <c r="H147" s="1626"/>
      <c r="I147" s="541"/>
      <c r="J147" s="541"/>
      <c r="K147" s="541"/>
      <c r="L147" s="48"/>
      <c r="M147" s="48"/>
      <c r="N147" s="48"/>
      <c r="O147" s="48" t="str">
        <f t="shared" si="6"/>
        <v>-</v>
      </c>
      <c r="P147" s="37">
        <f t="shared" si="7"/>
        <v>0</v>
      </c>
      <c r="Q147" s="37">
        <f t="shared" si="8"/>
        <v>0</v>
      </c>
      <c r="R147" s="48" t="str">
        <f t="shared" si="9"/>
        <v>-</v>
      </c>
      <c r="S147" s="37" t="str">
        <f t="shared" si="10"/>
        <v>-</v>
      </c>
      <c r="T147" s="37" t="str">
        <f t="shared" si="11"/>
        <v>Yes</v>
      </c>
    </row>
    <row r="148" spans="1:20" ht="15.75" customHeight="1" x14ac:dyDescent="0.25">
      <c r="A148" s="48"/>
      <c r="B148" s="919"/>
      <c r="C148" s="1125"/>
      <c r="D148" s="928" t="s">
        <v>62</v>
      </c>
      <c r="E148" s="928" t="s">
        <v>62</v>
      </c>
      <c r="F148" s="928" t="s">
        <v>62</v>
      </c>
      <c r="G148" s="1625"/>
      <c r="H148" s="1626"/>
      <c r="I148" s="541"/>
      <c r="J148" s="541"/>
      <c r="K148" s="541"/>
      <c r="L148" s="48"/>
      <c r="M148" s="48"/>
      <c r="N148" s="48"/>
      <c r="O148" s="48" t="str">
        <f t="shared" si="6"/>
        <v>-</v>
      </c>
      <c r="P148" s="37">
        <f t="shared" si="7"/>
        <v>0</v>
      </c>
      <c r="Q148" s="37">
        <f t="shared" si="8"/>
        <v>0</v>
      </c>
      <c r="R148" s="48" t="str">
        <f t="shared" si="9"/>
        <v>-</v>
      </c>
      <c r="S148" s="37" t="str">
        <f t="shared" si="10"/>
        <v>-</v>
      </c>
      <c r="T148" s="37" t="str">
        <f t="shared" si="11"/>
        <v>Yes</v>
      </c>
    </row>
    <row r="149" spans="1:20" ht="15.75" customHeight="1" x14ac:dyDescent="0.25">
      <c r="A149" s="48"/>
      <c r="B149" s="919"/>
      <c r="C149" s="1125"/>
      <c r="D149" s="928" t="s">
        <v>62</v>
      </c>
      <c r="E149" s="928" t="s">
        <v>62</v>
      </c>
      <c r="F149" s="928" t="s">
        <v>62</v>
      </c>
      <c r="G149" s="1625"/>
      <c r="H149" s="1626"/>
      <c r="I149" s="541"/>
      <c r="J149" s="541"/>
      <c r="K149" s="541"/>
      <c r="L149" s="48"/>
      <c r="M149" s="48"/>
      <c r="N149" s="48"/>
      <c r="O149" s="48" t="str">
        <f t="shared" si="6"/>
        <v>-</v>
      </c>
      <c r="P149" s="37">
        <f t="shared" si="7"/>
        <v>0</v>
      </c>
      <c r="Q149" s="37">
        <f t="shared" si="8"/>
        <v>0</v>
      </c>
      <c r="R149" s="48" t="str">
        <f t="shared" si="9"/>
        <v>-</v>
      </c>
      <c r="S149" s="37" t="str">
        <f t="shared" si="10"/>
        <v>-</v>
      </c>
      <c r="T149" s="37" t="str">
        <f t="shared" si="11"/>
        <v>Yes</v>
      </c>
    </row>
    <row r="150" spans="1:20" ht="15.75" customHeight="1" x14ac:dyDescent="0.25">
      <c r="A150" s="48"/>
      <c r="B150" s="919"/>
      <c r="C150" s="1125"/>
      <c r="D150" s="928" t="s">
        <v>62</v>
      </c>
      <c r="E150" s="928" t="s">
        <v>62</v>
      </c>
      <c r="F150" s="928" t="s">
        <v>62</v>
      </c>
      <c r="G150" s="1625"/>
      <c r="H150" s="1626"/>
      <c r="I150" s="541"/>
      <c r="J150" s="541"/>
      <c r="K150" s="541"/>
      <c r="L150" s="48"/>
      <c r="M150" s="48"/>
      <c r="N150" s="48"/>
      <c r="O150" s="48" t="str">
        <f t="shared" si="6"/>
        <v>-</v>
      </c>
      <c r="P150" s="37">
        <f t="shared" si="7"/>
        <v>0</v>
      </c>
      <c r="Q150" s="37">
        <f t="shared" si="8"/>
        <v>0</v>
      </c>
      <c r="R150" s="48" t="str">
        <f t="shared" si="9"/>
        <v>-</v>
      </c>
      <c r="S150" s="37" t="str">
        <f t="shared" si="10"/>
        <v>-</v>
      </c>
      <c r="T150" s="37" t="str">
        <f t="shared" si="11"/>
        <v>Yes</v>
      </c>
    </row>
    <row r="151" spans="1:20" ht="15.75" customHeight="1" x14ac:dyDescent="0.25">
      <c r="A151" s="48"/>
      <c r="B151" s="919"/>
      <c r="C151" s="1125"/>
      <c r="D151" s="928" t="s">
        <v>62</v>
      </c>
      <c r="E151" s="928" t="s">
        <v>62</v>
      </c>
      <c r="F151" s="928" t="s">
        <v>62</v>
      </c>
      <c r="G151" s="1625"/>
      <c r="H151" s="1626"/>
      <c r="I151" s="541"/>
      <c r="J151" s="541"/>
      <c r="K151" s="541"/>
      <c r="L151" s="48"/>
      <c r="M151" s="48"/>
      <c r="N151" s="48"/>
      <c r="O151" s="48" t="str">
        <f t="shared" si="6"/>
        <v>-</v>
      </c>
      <c r="P151" s="37">
        <f t="shared" si="7"/>
        <v>0</v>
      </c>
      <c r="Q151" s="37">
        <f t="shared" si="8"/>
        <v>0</v>
      </c>
      <c r="R151" s="48" t="str">
        <f t="shared" si="9"/>
        <v>-</v>
      </c>
      <c r="S151" s="37" t="str">
        <f t="shared" si="10"/>
        <v>-</v>
      </c>
      <c r="T151" s="37" t="str">
        <f t="shared" si="11"/>
        <v>Yes</v>
      </c>
    </row>
    <row r="152" spans="1:20" ht="15.75" customHeight="1" x14ac:dyDescent="0.25">
      <c r="A152" s="48"/>
      <c r="B152" s="919"/>
      <c r="C152" s="1125"/>
      <c r="D152" s="928" t="s">
        <v>62</v>
      </c>
      <c r="E152" s="928" t="s">
        <v>62</v>
      </c>
      <c r="F152" s="928" t="s">
        <v>62</v>
      </c>
      <c r="G152" s="1625"/>
      <c r="H152" s="1626"/>
      <c r="I152" s="541"/>
      <c r="J152" s="541"/>
      <c r="K152" s="541"/>
      <c r="L152" s="48"/>
      <c r="M152" s="48"/>
      <c r="N152" s="48"/>
      <c r="O152" s="48" t="str">
        <f t="shared" si="6"/>
        <v>-</v>
      </c>
      <c r="P152" s="37">
        <f t="shared" si="7"/>
        <v>0</v>
      </c>
      <c r="Q152" s="37">
        <f t="shared" si="8"/>
        <v>0</v>
      </c>
      <c r="R152" s="48" t="str">
        <f t="shared" si="9"/>
        <v>-</v>
      </c>
      <c r="S152" s="37" t="str">
        <f t="shared" si="10"/>
        <v>-</v>
      </c>
      <c r="T152" s="37" t="str">
        <f t="shared" si="11"/>
        <v>Yes</v>
      </c>
    </row>
    <row r="153" spans="1:20" ht="15.75" customHeight="1" x14ac:dyDescent="0.25">
      <c r="A153" s="48"/>
      <c r="B153" s="919"/>
      <c r="C153" s="1125"/>
      <c r="D153" s="928" t="s">
        <v>62</v>
      </c>
      <c r="E153" s="928" t="s">
        <v>62</v>
      </c>
      <c r="F153" s="928" t="s">
        <v>62</v>
      </c>
      <c r="G153" s="1625"/>
      <c r="H153" s="1626"/>
      <c r="I153" s="541"/>
      <c r="J153" s="541"/>
      <c r="K153" s="541"/>
      <c r="L153" s="48"/>
      <c r="M153" s="48"/>
      <c r="N153" s="48"/>
      <c r="O153" s="48" t="str">
        <f t="shared" si="6"/>
        <v>-</v>
      </c>
      <c r="P153" s="37">
        <f t="shared" si="7"/>
        <v>0</v>
      </c>
      <c r="Q153" s="37">
        <f t="shared" si="8"/>
        <v>0</v>
      </c>
      <c r="R153" s="48" t="str">
        <f t="shared" si="9"/>
        <v>-</v>
      </c>
      <c r="S153" s="37" t="str">
        <f t="shared" si="10"/>
        <v>-</v>
      </c>
      <c r="T153" s="37" t="str">
        <f t="shared" si="11"/>
        <v>Yes</v>
      </c>
    </row>
    <row r="154" spans="1:20" ht="15.75" customHeight="1" x14ac:dyDescent="0.25">
      <c r="A154" s="48"/>
      <c r="B154" s="919"/>
      <c r="C154" s="1125"/>
      <c r="D154" s="928" t="s">
        <v>62</v>
      </c>
      <c r="E154" s="928" t="s">
        <v>62</v>
      </c>
      <c r="F154" s="928" t="s">
        <v>62</v>
      </c>
      <c r="G154" s="1625"/>
      <c r="H154" s="1626"/>
      <c r="I154" s="541"/>
      <c r="J154" s="541"/>
      <c r="K154" s="541"/>
      <c r="L154" s="48"/>
      <c r="M154" s="48"/>
      <c r="N154" s="48"/>
      <c r="O154" s="48" t="str">
        <f t="shared" si="6"/>
        <v>-</v>
      </c>
      <c r="P154" s="37">
        <f t="shared" si="7"/>
        <v>0</v>
      </c>
      <c r="Q154" s="37">
        <f t="shared" si="8"/>
        <v>0</v>
      </c>
      <c r="R154" s="48" t="str">
        <f t="shared" si="9"/>
        <v>-</v>
      </c>
      <c r="S154" s="37" t="str">
        <f t="shared" si="10"/>
        <v>-</v>
      </c>
      <c r="T154" s="37" t="str">
        <f t="shared" si="11"/>
        <v>Yes</v>
      </c>
    </row>
    <row r="155" spans="1:20" ht="15.75" customHeight="1" x14ac:dyDescent="0.25">
      <c r="A155" s="48"/>
      <c r="B155" s="919"/>
      <c r="C155" s="1125"/>
      <c r="D155" s="928" t="s">
        <v>62</v>
      </c>
      <c r="E155" s="928" t="s">
        <v>62</v>
      </c>
      <c r="F155" s="928" t="s">
        <v>62</v>
      </c>
      <c r="G155" s="1625"/>
      <c r="H155" s="1626"/>
      <c r="I155" s="541"/>
      <c r="J155" s="541"/>
      <c r="K155" s="541"/>
      <c r="L155" s="48"/>
      <c r="M155" s="48"/>
      <c r="N155" s="48"/>
      <c r="O155" s="48" t="str">
        <f t="shared" si="6"/>
        <v>-</v>
      </c>
      <c r="P155" s="37">
        <f t="shared" si="7"/>
        <v>0</v>
      </c>
      <c r="Q155" s="37">
        <f t="shared" si="8"/>
        <v>0</v>
      </c>
      <c r="R155" s="48" t="str">
        <f t="shared" si="9"/>
        <v>-</v>
      </c>
      <c r="S155" s="37" t="str">
        <f t="shared" si="10"/>
        <v>-</v>
      </c>
      <c r="T155" s="37" t="str">
        <f t="shared" si="11"/>
        <v>Yes</v>
      </c>
    </row>
    <row r="156" spans="1:20" ht="15.75" customHeight="1" x14ac:dyDescent="0.25">
      <c r="A156" s="48"/>
      <c r="B156" s="919"/>
      <c r="C156" s="1125"/>
      <c r="D156" s="928" t="s">
        <v>62</v>
      </c>
      <c r="E156" s="928" t="s">
        <v>62</v>
      </c>
      <c r="F156" s="928" t="s">
        <v>62</v>
      </c>
      <c r="G156" s="1625"/>
      <c r="H156" s="1626"/>
      <c r="I156" s="541"/>
      <c r="J156" s="541"/>
      <c r="K156" s="541"/>
      <c r="L156" s="48"/>
      <c r="M156" s="48"/>
      <c r="N156" s="48"/>
      <c r="O156" s="48" t="str">
        <f t="shared" si="6"/>
        <v>-</v>
      </c>
      <c r="P156" s="37">
        <f t="shared" si="7"/>
        <v>0</v>
      </c>
      <c r="Q156" s="37">
        <f t="shared" si="8"/>
        <v>0</v>
      </c>
      <c r="R156" s="48" t="str">
        <f t="shared" si="9"/>
        <v>-</v>
      </c>
      <c r="S156" s="37" t="str">
        <f t="shared" si="10"/>
        <v>-</v>
      </c>
      <c r="T156" s="37" t="str">
        <f t="shared" si="11"/>
        <v>Yes</v>
      </c>
    </row>
    <row r="157" spans="1:20" x14ac:dyDescent="0.25">
      <c r="A157" s="48"/>
      <c r="B157" s="48"/>
      <c r="C157" s="48"/>
      <c r="D157" s="48"/>
      <c r="E157" s="48"/>
      <c r="F157" s="48"/>
      <c r="G157" s="713"/>
      <c r="H157" s="713"/>
      <c r="I157" s="713"/>
      <c r="J157" s="713"/>
      <c r="K157" s="48"/>
      <c r="L157" s="48"/>
      <c r="M157" s="48"/>
      <c r="N157" s="48"/>
      <c r="Q157" s="1127">
        <f>IFERROR(SUM(Q142:Q156)/SUM(P142:P156),0)</f>
        <v>0</v>
      </c>
      <c r="T157" s="1127" t="str">
        <f>IF(AND(COUNTIF(T142:T156,"No")=0,COUNTIF(S142:S156,"Yes")&gt;0),"Yes","No")</f>
        <v>No</v>
      </c>
    </row>
    <row r="158" spans="1:20" ht="18" customHeight="1" x14ac:dyDescent="0.25">
      <c r="A158" s="48"/>
      <c r="B158" s="2102" t="s">
        <v>1658</v>
      </c>
      <c r="C158" s="2102"/>
      <c r="D158" s="70" t="str">
        <f>IF(AND(Q157&gt;=0.9,T157="Yes"),"Yes","No")</f>
        <v>No</v>
      </c>
      <c r="E158" s="48"/>
      <c r="F158" s="48"/>
      <c r="G158" s="932"/>
      <c r="H158" s="932"/>
      <c r="I158" s="932"/>
      <c r="J158" s="932"/>
      <c r="K158" s="48"/>
      <c r="L158" s="48"/>
      <c r="M158" s="48"/>
    </row>
    <row r="159" spans="1:20" ht="20.25" customHeight="1" x14ac:dyDescent="0.25">
      <c r="A159" s="48"/>
      <c r="B159" s="48"/>
      <c r="C159" s="48"/>
      <c r="D159" s="48"/>
      <c r="E159" s="48"/>
      <c r="F159" s="48"/>
      <c r="G159" s="932"/>
      <c r="H159" s="932"/>
      <c r="I159" s="932"/>
      <c r="J159" s="932"/>
      <c r="K159" s="48"/>
      <c r="L159" s="48"/>
      <c r="M159" s="48"/>
    </row>
    <row r="160" spans="1:20" ht="17.25" customHeight="1" x14ac:dyDescent="0.25">
      <c r="A160" s="2115" t="s">
        <v>97</v>
      </c>
      <c r="B160" s="2115"/>
      <c r="C160" s="2115"/>
      <c r="D160" s="49"/>
      <c r="E160" s="49"/>
      <c r="F160" s="49"/>
      <c r="G160" s="49"/>
      <c r="H160" s="49"/>
      <c r="I160" s="49"/>
      <c r="J160" s="49"/>
      <c r="K160" s="49"/>
      <c r="L160" s="49"/>
      <c r="M160" s="49"/>
      <c r="N160" s="49"/>
    </row>
    <row r="161" spans="1:17" x14ac:dyDescent="0.25">
      <c r="A161" s="49"/>
      <c r="B161" s="49"/>
      <c r="C161" s="49"/>
      <c r="D161" s="49"/>
      <c r="E161" s="49"/>
      <c r="F161" s="49"/>
      <c r="G161" s="49"/>
      <c r="H161" s="49"/>
      <c r="I161" s="49"/>
      <c r="J161" s="49"/>
      <c r="K161" s="49"/>
      <c r="L161" s="49"/>
      <c r="M161" s="49"/>
      <c r="N161" s="49"/>
    </row>
    <row r="162" spans="1:17" ht="22.5" customHeight="1" x14ac:dyDescent="0.25">
      <c r="A162" s="49"/>
      <c r="B162" s="2093" t="s">
        <v>98</v>
      </c>
      <c r="C162" s="2094"/>
      <c r="D162" s="2094"/>
      <c r="E162" s="2094"/>
      <c r="F162" s="2094"/>
      <c r="G162" s="256" t="s">
        <v>1297</v>
      </c>
      <c r="H162" s="2095" t="s">
        <v>1298</v>
      </c>
      <c r="I162" s="2095"/>
      <c r="J162" s="49"/>
      <c r="K162" s="49"/>
      <c r="L162" s="49"/>
      <c r="M162" s="49"/>
      <c r="N162" s="49"/>
    </row>
    <row r="163" spans="1:17" ht="25.5" customHeight="1" x14ac:dyDescent="0.25">
      <c r="A163" s="49"/>
      <c r="B163" s="1644" t="str">
        <f>Submittals!H136</f>
        <v>Select the Submission Stage in Project Information</v>
      </c>
      <c r="C163" s="1645"/>
      <c r="D163" s="1645"/>
      <c r="E163" s="1645"/>
      <c r="F163" s="1645"/>
      <c r="G163" s="974" t="s">
        <v>62</v>
      </c>
      <c r="H163" s="1625"/>
      <c r="I163" s="1626"/>
      <c r="J163" s="49"/>
      <c r="K163" s="49"/>
      <c r="L163" s="49"/>
      <c r="M163" s="49"/>
      <c r="N163" s="37" t="str">
        <f>IF(OR(B163="/",B163="No evidence required at this submission stage"),"Yes",IF(G163="Submitted","Yes","No"))</f>
        <v>No</v>
      </c>
    </row>
    <row r="164" spans="1:17" ht="30" customHeight="1" x14ac:dyDescent="0.25">
      <c r="A164" s="49"/>
      <c r="B164" s="1644" t="str">
        <f>Submittals!H137</f>
        <v>Select the Submission Stage in Project Information</v>
      </c>
      <c r="C164" s="1645"/>
      <c r="D164" s="1645"/>
      <c r="E164" s="1645"/>
      <c r="F164" s="1645"/>
      <c r="G164" s="974" t="s">
        <v>62</v>
      </c>
      <c r="H164" s="1625"/>
      <c r="I164" s="1626"/>
      <c r="J164" s="49"/>
      <c r="K164" s="49"/>
      <c r="L164" s="49"/>
      <c r="M164" s="49"/>
      <c r="N164" s="37" t="str">
        <f>IF(OR(B164="/",B164="No evidence required at this submission stage"),"Yes",IF(G164="Submitted","Yes","No"))</f>
        <v>No</v>
      </c>
    </row>
    <row r="165" spans="1:17" customFormat="1" ht="18" customHeight="1" x14ac:dyDescent="0.25">
      <c r="A165" s="49"/>
      <c r="B165" s="49"/>
      <c r="C165" s="49"/>
      <c r="D165" s="49"/>
      <c r="E165" s="49"/>
      <c r="F165" s="49"/>
      <c r="G165" s="49"/>
      <c r="H165" s="49"/>
      <c r="I165" s="49"/>
      <c r="J165" s="49"/>
      <c r="K165" s="49"/>
      <c r="L165" s="49"/>
      <c r="M165" s="49"/>
      <c r="N165" s="49"/>
      <c r="O165" s="37"/>
      <c r="P165" s="37"/>
      <c r="Q165" s="37"/>
    </row>
    <row r="166" spans="1:17" ht="17.25" customHeight="1" x14ac:dyDescent="0.25">
      <c r="A166" s="2115" t="s">
        <v>8</v>
      </c>
      <c r="B166" s="2115"/>
      <c r="C166" s="2115"/>
      <c r="D166" s="49"/>
      <c r="E166" s="49"/>
      <c r="F166" s="49"/>
      <c r="G166" s="49"/>
      <c r="H166" s="49"/>
      <c r="I166" s="49"/>
      <c r="J166" s="49"/>
      <c r="K166" s="49"/>
      <c r="L166" s="49"/>
      <c r="M166" s="49"/>
      <c r="N166" s="49"/>
    </row>
    <row r="167" spans="1:17" ht="16.5" customHeight="1" x14ac:dyDescent="0.25">
      <c r="A167" s="49"/>
      <c r="B167" s="49"/>
      <c r="C167" s="49"/>
      <c r="D167" s="49"/>
      <c r="E167" s="49"/>
      <c r="F167" s="49"/>
      <c r="G167" s="49"/>
      <c r="H167" s="49"/>
      <c r="I167" s="49"/>
      <c r="J167" s="49"/>
      <c r="K167" s="49"/>
      <c r="L167" s="49"/>
      <c r="M167" s="49"/>
      <c r="N167" s="49"/>
    </row>
    <row r="168" spans="1:17" ht="18" customHeight="1" x14ac:dyDescent="0.25">
      <c r="A168" s="49"/>
      <c r="B168" s="145" t="s">
        <v>19</v>
      </c>
      <c r="C168" s="8">
        <f>IF(D158="Yes",1,0)</f>
        <v>0</v>
      </c>
      <c r="D168" s="49"/>
      <c r="E168" s="49"/>
      <c r="F168" s="49"/>
      <c r="G168" s="49"/>
      <c r="H168" s="49"/>
      <c r="I168" s="49"/>
      <c r="J168" s="49"/>
      <c r="K168" s="49"/>
      <c r="L168" s="49"/>
      <c r="M168" s="49"/>
      <c r="N168" s="49"/>
    </row>
    <row r="169" spans="1:17" ht="18" customHeight="1" x14ac:dyDescent="0.25">
      <c r="A169" s="49"/>
      <c r="B169" s="146" t="s">
        <v>151</v>
      </c>
      <c r="C169" s="7" t="str">
        <f>IF(AND(COUNTIF(N163:N164,"Yes")=2,C168&gt;0),"Yes","No")</f>
        <v>No</v>
      </c>
      <c r="D169" s="49"/>
      <c r="E169" s="49"/>
      <c r="F169" s="49"/>
      <c r="G169" s="49"/>
      <c r="H169" s="49"/>
      <c r="I169" s="49"/>
      <c r="J169" s="49"/>
      <c r="K169" s="49"/>
      <c r="L169" s="49"/>
      <c r="M169" s="49"/>
      <c r="N169" s="49"/>
    </row>
    <row r="170" spans="1:17" ht="24" customHeight="1" x14ac:dyDescent="0.25">
      <c r="A170" s="49"/>
      <c r="B170" s="49"/>
      <c r="C170" s="49"/>
      <c r="D170" s="49"/>
      <c r="E170" s="49"/>
      <c r="F170" s="49"/>
      <c r="G170" s="49"/>
      <c r="H170" s="49"/>
      <c r="I170" s="49"/>
      <c r="J170" s="49"/>
      <c r="K170" s="49"/>
      <c r="L170" s="49"/>
      <c r="M170" s="49"/>
      <c r="N170" s="49"/>
    </row>
    <row r="171" spans="1:17" ht="18" customHeight="1" x14ac:dyDescent="0.25">
      <c r="A171" s="2092" t="s">
        <v>1150</v>
      </c>
      <c r="B171" s="2092"/>
      <c r="C171" s="2092"/>
      <c r="D171" s="2092"/>
      <c r="E171" s="2092"/>
      <c r="F171" s="2092"/>
      <c r="G171" s="2092"/>
      <c r="H171" s="2092"/>
      <c r="I171" s="2092"/>
      <c r="J171" s="2092"/>
      <c r="K171" s="2092"/>
      <c r="L171" s="2092"/>
      <c r="M171" s="2092"/>
    </row>
    <row r="172" spans="1:17" x14ac:dyDescent="0.25">
      <c r="A172" s="48"/>
      <c r="B172" s="49"/>
      <c r="C172" s="49"/>
      <c r="D172" s="49"/>
      <c r="E172" s="49"/>
      <c r="F172" s="48"/>
      <c r="G172" s="48"/>
      <c r="H172" s="48"/>
      <c r="I172" s="48"/>
      <c r="J172" s="48"/>
      <c r="K172" s="48"/>
      <c r="L172" s="48"/>
      <c r="M172" s="48"/>
      <c r="N172" s="48"/>
    </row>
    <row r="173" spans="1:17" ht="17.25" customHeight="1" x14ac:dyDescent="0.25">
      <c r="A173" s="2115" t="s">
        <v>117</v>
      </c>
      <c r="B173" s="2115"/>
      <c r="C173" s="2115"/>
      <c r="D173" s="49"/>
      <c r="E173" s="49"/>
      <c r="F173" s="49"/>
      <c r="G173" s="49"/>
      <c r="H173" s="49"/>
      <c r="I173" s="49"/>
      <c r="J173" s="49"/>
      <c r="K173" s="49"/>
      <c r="L173" s="49"/>
      <c r="M173" s="49"/>
      <c r="N173" s="49"/>
    </row>
    <row r="174" spans="1:17" x14ac:dyDescent="0.25">
      <c r="A174" s="48"/>
      <c r="B174" s="48"/>
      <c r="C174" s="48"/>
      <c r="D174" s="48"/>
      <c r="E174" s="48"/>
      <c r="F174" s="48"/>
      <c r="G174" s="48"/>
      <c r="H174" s="48"/>
      <c r="I174" s="48"/>
      <c r="J174" s="48"/>
      <c r="K174" s="48"/>
      <c r="L174" s="48"/>
      <c r="M174" s="48"/>
      <c r="N174" s="48"/>
    </row>
    <row r="175" spans="1:17" x14ac:dyDescent="0.25">
      <c r="A175" s="48"/>
      <c r="B175" s="956" t="s">
        <v>1663</v>
      </c>
      <c r="C175" s="511"/>
      <c r="D175" s="511"/>
      <c r="E175" s="511"/>
      <c r="F175" s="511"/>
      <c r="G175" s="511"/>
      <c r="H175" s="511"/>
      <c r="I175" s="511"/>
      <c r="J175" s="512"/>
      <c r="K175" s="48"/>
      <c r="L175" s="48"/>
      <c r="M175" s="48"/>
    </row>
    <row r="176" spans="1:17" ht="16.5" customHeight="1" x14ac:dyDescent="0.25">
      <c r="A176" s="48"/>
      <c r="B176" s="925" t="s">
        <v>1660</v>
      </c>
      <c r="C176" s="513"/>
      <c r="D176" s="513"/>
      <c r="E176" s="513"/>
      <c r="F176" s="513"/>
      <c r="G176" s="513"/>
      <c r="H176" s="513"/>
      <c r="I176" s="513"/>
      <c r="J176" s="514"/>
      <c r="K176" s="48"/>
      <c r="L176" s="48"/>
      <c r="M176" s="48"/>
    </row>
    <row r="177" spans="1:17" ht="16.5" customHeight="1" x14ac:dyDescent="0.25">
      <c r="A177" s="48"/>
      <c r="B177" s="925" t="s">
        <v>1661</v>
      </c>
      <c r="C177" s="513"/>
      <c r="D177" s="513"/>
      <c r="E177" s="513"/>
      <c r="F177" s="513"/>
      <c r="G177" s="513"/>
      <c r="H177" s="513"/>
      <c r="I177" s="513"/>
      <c r="J177" s="514"/>
      <c r="K177" s="48"/>
      <c r="L177" s="48"/>
      <c r="M177" s="48"/>
    </row>
    <row r="178" spans="1:17" ht="16.5" customHeight="1" x14ac:dyDescent="0.25">
      <c r="A178" s="48"/>
      <c r="B178" s="925" t="s">
        <v>1662</v>
      </c>
      <c r="C178" s="513"/>
      <c r="D178" s="513"/>
      <c r="E178" s="513"/>
      <c r="F178" s="513"/>
      <c r="G178" s="513"/>
      <c r="H178" s="513"/>
      <c r="I178" s="513"/>
      <c r="J178" s="514"/>
      <c r="K178" s="48"/>
      <c r="L178" s="48"/>
      <c r="M178" s="48"/>
    </row>
    <row r="179" spans="1:17" ht="16.5" customHeight="1" x14ac:dyDescent="0.25">
      <c r="A179" s="48"/>
      <c r="B179" s="2266" t="s">
        <v>1669</v>
      </c>
      <c r="C179" s="2267"/>
      <c r="D179" s="2267"/>
      <c r="E179" s="2267"/>
      <c r="F179" s="2267"/>
      <c r="G179" s="2267"/>
      <c r="H179" s="2267"/>
      <c r="I179" s="2267"/>
      <c r="J179" s="2268"/>
      <c r="K179" s="48"/>
      <c r="L179" s="48"/>
      <c r="M179" s="48"/>
    </row>
    <row r="180" spans="1:17" ht="18" customHeight="1" x14ac:dyDescent="0.25">
      <c r="A180" s="48"/>
      <c r="B180" s="49"/>
      <c r="C180" s="49"/>
      <c r="D180" s="49"/>
      <c r="E180" s="49"/>
      <c r="F180" s="48"/>
      <c r="G180" s="48"/>
      <c r="H180" s="48"/>
      <c r="I180" s="48"/>
      <c r="J180" s="48"/>
      <c r="K180" s="48"/>
      <c r="L180" s="48"/>
      <c r="M180" s="48"/>
    </row>
    <row r="181" spans="1:17" x14ac:dyDescent="0.25">
      <c r="A181" s="48"/>
      <c r="B181" s="681" t="s">
        <v>1651</v>
      </c>
      <c r="C181" s="49"/>
      <c r="D181" s="49"/>
      <c r="E181" s="49"/>
      <c r="F181" s="48"/>
      <c r="G181" s="48"/>
      <c r="H181" s="48"/>
      <c r="I181" s="48"/>
      <c r="J181" s="48"/>
      <c r="K181" s="48"/>
      <c r="L181" s="48"/>
      <c r="M181" s="48"/>
    </row>
    <row r="182" spans="1:17" ht="20.25" customHeight="1" x14ac:dyDescent="0.25">
      <c r="A182" s="48"/>
      <c r="B182" s="2269"/>
      <c r="C182" s="2269"/>
      <c r="D182" s="2269"/>
      <c r="E182" s="2269"/>
      <c r="F182" s="2269"/>
      <c r="G182" s="2269"/>
      <c r="H182" s="2269"/>
      <c r="I182" s="2269"/>
      <c r="J182" s="2269"/>
      <c r="K182" s="48"/>
      <c r="L182" s="48"/>
      <c r="M182" s="48"/>
    </row>
    <row r="183" spans="1:17" x14ac:dyDescent="0.25">
      <c r="A183" s="48"/>
      <c r="B183" s="671" t="s">
        <v>1721</v>
      </c>
      <c r="C183" s="932"/>
      <c r="D183" s="932"/>
      <c r="E183" s="932"/>
      <c r="F183" s="932"/>
      <c r="G183" s="932"/>
      <c r="H183" s="932"/>
      <c r="I183" s="932"/>
      <c r="J183" s="932"/>
      <c r="K183" s="48"/>
      <c r="L183" s="48"/>
      <c r="M183" s="48"/>
    </row>
    <row r="184" spans="1:17" x14ac:dyDescent="0.25">
      <c r="A184" s="48"/>
      <c r="B184" s="671"/>
      <c r="C184" s="932"/>
      <c r="D184" s="932"/>
      <c r="E184" s="932"/>
      <c r="F184" s="932"/>
      <c r="G184" s="932"/>
      <c r="H184" s="932"/>
      <c r="I184" s="932"/>
      <c r="J184" s="932"/>
      <c r="K184" s="48"/>
      <c r="L184" s="48"/>
      <c r="M184" s="48"/>
    </row>
    <row r="185" spans="1:17" ht="18" customHeight="1" x14ac:dyDescent="0.25">
      <c r="A185" s="48"/>
      <c r="B185" s="1644" t="str">
        <f>IF('Project information'!$C$7="Full Certification stage","• Has thermal comfort measurements been conducted in accordance with TCXVN 306:2004?","• Will thermal comfort measurements be conducted in accordance with TCXVN 306:2004?")</f>
        <v>• Will thermal comfort measurements be conducted in accordance with TCXVN 306:2004?</v>
      </c>
      <c r="C185" s="1645"/>
      <c r="D185" s="1645"/>
      <c r="E185" s="1645"/>
      <c r="F185" s="1646"/>
      <c r="G185" s="919" t="s">
        <v>62</v>
      </c>
      <c r="H185" s="932"/>
      <c r="I185" s="932"/>
      <c r="J185" s="932"/>
      <c r="K185" s="48"/>
      <c r="L185" s="48"/>
      <c r="M185" s="48"/>
    </row>
    <row r="186" spans="1:17" x14ac:dyDescent="0.25">
      <c r="A186" s="48"/>
      <c r="B186" s="932"/>
      <c r="C186" s="932"/>
      <c r="D186" s="932"/>
      <c r="E186" s="932"/>
      <c r="F186" s="932"/>
      <c r="G186" s="932"/>
      <c r="H186" s="932"/>
      <c r="I186" s="932"/>
      <c r="J186" s="932"/>
      <c r="K186" s="48"/>
      <c r="L186" s="48"/>
      <c r="M186" s="48"/>
    </row>
    <row r="187" spans="1:17" ht="25.5" customHeight="1" x14ac:dyDescent="0.25">
      <c r="A187" s="48"/>
      <c r="B187" s="2288" t="s">
        <v>1654</v>
      </c>
      <c r="C187" s="2242" t="s">
        <v>1667</v>
      </c>
      <c r="D187" s="2242"/>
      <c r="E187" s="2242" t="s">
        <v>1666</v>
      </c>
      <c r="F187" s="2242" t="s">
        <v>1967</v>
      </c>
      <c r="G187" s="1062"/>
      <c r="H187" s="932"/>
      <c r="I187" s="932"/>
      <c r="J187" s="932"/>
      <c r="K187" s="48"/>
      <c r="L187" s="48"/>
      <c r="M187" s="48"/>
    </row>
    <row r="188" spans="1:17" x14ac:dyDescent="0.25">
      <c r="A188" s="48"/>
      <c r="B188" s="2289"/>
      <c r="C188" s="931" t="s">
        <v>1664</v>
      </c>
      <c r="D188" s="931" t="s">
        <v>1665</v>
      </c>
      <c r="E188" s="2287"/>
      <c r="F188" s="2287"/>
      <c r="G188" s="1062"/>
      <c r="H188" s="932"/>
      <c r="I188" s="932"/>
      <c r="J188" s="932"/>
      <c r="K188" s="48"/>
      <c r="L188" s="48"/>
      <c r="M188" s="48"/>
      <c r="Q188" s="37" t="s">
        <v>119</v>
      </c>
    </row>
    <row r="189" spans="1:17" x14ac:dyDescent="0.25">
      <c r="A189" s="48"/>
      <c r="B189" s="919"/>
      <c r="C189" s="919"/>
      <c r="D189" s="919"/>
      <c r="E189" s="1072"/>
      <c r="F189" s="1058"/>
      <c r="G189" s="1062"/>
      <c r="H189" s="932"/>
      <c r="I189" s="932"/>
      <c r="J189" s="932"/>
      <c r="K189" s="48"/>
      <c r="L189" s="48"/>
      <c r="M189" s="48"/>
      <c r="N189" s="37" t="str">
        <f>IF(OR(C189&lt;&gt;"",D189&lt;&gt;""),IF(OR(D189&gt;C189+1.5,D189&lt;C189-1.5),0,1),"/")</f>
        <v>/</v>
      </c>
      <c r="O189" s="37" t="str">
        <f>IF(E189="","/",IF(E189&lt;=70,1,0))</f>
        <v>/</v>
      </c>
      <c r="P189" s="37" t="str">
        <f>IF(F189="","/",IF(F189&lt;=0.3,1,0))</f>
        <v>/</v>
      </c>
      <c r="Q189" s="37" t="str">
        <f>IF(SUM(N189:P189)=3,"Yes",IF(COUNTIF(N189:P189,"/")=3,"/","No"))</f>
        <v>/</v>
      </c>
    </row>
    <row r="190" spans="1:17" x14ac:dyDescent="0.25">
      <c r="A190" s="48"/>
      <c r="B190" s="971"/>
      <c r="C190" s="971"/>
      <c r="D190" s="971"/>
      <c r="E190" s="1072"/>
      <c r="F190" s="971"/>
      <c r="G190" s="1062"/>
      <c r="H190" s="975"/>
      <c r="I190" s="975"/>
      <c r="J190" s="975"/>
      <c r="K190" s="48"/>
      <c r="L190" s="48"/>
      <c r="M190" s="48"/>
      <c r="N190" s="37" t="str">
        <f>IF(OR(C190&lt;&gt;"",D190&lt;&gt;""),IF(OR(D190&gt;C190+1.5,D190&lt;C190-1.5),0,1),"/")</f>
        <v>/</v>
      </c>
      <c r="O190" s="37" t="str">
        <f>IF(E190="","/",IF(E190&lt;=70,1,0))</f>
        <v>/</v>
      </c>
      <c r="P190" s="37" t="str">
        <f>IF(F190="","/",IF(F190&lt;=0.3,1,0))</f>
        <v>/</v>
      </c>
      <c r="Q190" s="37" t="str">
        <f>IF(SUM(N190:P190)=3,"Yes",IF(COUNTIF(N190:P190,"/")=3,"/","No"))</f>
        <v>/</v>
      </c>
    </row>
    <row r="191" spans="1:17" x14ac:dyDescent="0.25">
      <c r="A191" s="48"/>
      <c r="B191" s="971"/>
      <c r="C191" s="971"/>
      <c r="D191" s="971"/>
      <c r="E191" s="1072"/>
      <c r="F191" s="971"/>
      <c r="G191" s="1062"/>
      <c r="H191" s="975"/>
      <c r="I191" s="975"/>
      <c r="J191" s="975"/>
      <c r="K191" s="48"/>
      <c r="L191" s="48"/>
      <c r="M191" s="48"/>
      <c r="N191" s="37" t="str">
        <f t="shared" ref="N191:N203" si="12">IF(OR(C191&lt;&gt;"",D191&lt;&gt;""),IF(OR(D191&gt;C191+1.5,D191&lt;C191-1.5),0,1),"/")</f>
        <v>/</v>
      </c>
      <c r="O191" s="37" t="str">
        <f t="shared" ref="O191:O203" si="13">IF(E191="","/",IF(E191&lt;=70,1,0))</f>
        <v>/</v>
      </c>
      <c r="P191" s="37" t="str">
        <f t="shared" ref="P191:P203" si="14">IF(F191="","/",IF(F191&lt;=0.3,1,0))</f>
        <v>/</v>
      </c>
      <c r="Q191" s="37" t="str">
        <f t="shared" ref="Q191:Q203" si="15">IF(SUM(N191:P191)=3,"Yes",IF(COUNTIF(N191:P191,"/")=3,"/","No"))</f>
        <v>/</v>
      </c>
    </row>
    <row r="192" spans="1:17" x14ac:dyDescent="0.25">
      <c r="A192" s="48"/>
      <c r="B192" s="971"/>
      <c r="C192" s="971"/>
      <c r="D192" s="971"/>
      <c r="E192" s="1072"/>
      <c r="F192" s="971"/>
      <c r="G192" s="1062"/>
      <c r="H192" s="975"/>
      <c r="I192" s="975"/>
      <c r="J192" s="975"/>
      <c r="K192" s="48"/>
      <c r="L192" s="48"/>
      <c r="M192" s="48"/>
      <c r="N192" s="37" t="str">
        <f t="shared" si="12"/>
        <v>/</v>
      </c>
      <c r="O192" s="37" t="str">
        <f t="shared" si="13"/>
        <v>/</v>
      </c>
      <c r="P192" s="37" t="str">
        <f t="shared" si="14"/>
        <v>/</v>
      </c>
      <c r="Q192" s="37" t="str">
        <f t="shared" si="15"/>
        <v>/</v>
      </c>
    </row>
    <row r="193" spans="1:17" x14ac:dyDescent="0.25">
      <c r="A193" s="48"/>
      <c r="B193" s="971"/>
      <c r="C193" s="971"/>
      <c r="D193" s="971"/>
      <c r="E193" s="1072"/>
      <c r="F193" s="971"/>
      <c r="G193" s="1062"/>
      <c r="H193" s="975"/>
      <c r="I193" s="975"/>
      <c r="J193" s="975"/>
      <c r="K193" s="48"/>
      <c r="L193" s="48"/>
      <c r="M193" s="48"/>
      <c r="N193" s="37" t="str">
        <f t="shared" si="12"/>
        <v>/</v>
      </c>
      <c r="O193" s="37" t="str">
        <f t="shared" si="13"/>
        <v>/</v>
      </c>
      <c r="P193" s="37" t="str">
        <f t="shared" si="14"/>
        <v>/</v>
      </c>
      <c r="Q193" s="37" t="str">
        <f t="shared" si="15"/>
        <v>/</v>
      </c>
    </row>
    <row r="194" spans="1:17" x14ac:dyDescent="0.25">
      <c r="A194" s="48"/>
      <c r="B194" s="971"/>
      <c r="C194" s="971"/>
      <c r="D194" s="971"/>
      <c r="E194" s="1072"/>
      <c r="F194" s="971"/>
      <c r="G194" s="1062"/>
      <c r="H194" s="975"/>
      <c r="I194" s="975"/>
      <c r="J194" s="975"/>
      <c r="K194" s="48"/>
      <c r="L194" s="48"/>
      <c r="M194" s="48"/>
      <c r="N194" s="37" t="str">
        <f t="shared" si="12"/>
        <v>/</v>
      </c>
      <c r="O194" s="37" t="str">
        <f t="shared" si="13"/>
        <v>/</v>
      </c>
      <c r="P194" s="37" t="str">
        <f t="shared" si="14"/>
        <v>/</v>
      </c>
      <c r="Q194" s="37" t="str">
        <f t="shared" si="15"/>
        <v>/</v>
      </c>
    </row>
    <row r="195" spans="1:17" x14ac:dyDescent="0.25">
      <c r="A195" s="48"/>
      <c r="B195" s="971"/>
      <c r="C195" s="971"/>
      <c r="D195" s="971"/>
      <c r="E195" s="1072"/>
      <c r="F195" s="971"/>
      <c r="G195" s="1062"/>
      <c r="H195" s="975"/>
      <c r="I195" s="975"/>
      <c r="J195" s="975"/>
      <c r="K195" s="48"/>
      <c r="L195" s="48"/>
      <c r="M195" s="48"/>
      <c r="N195" s="37" t="str">
        <f t="shared" si="12"/>
        <v>/</v>
      </c>
      <c r="O195" s="37" t="str">
        <f t="shared" si="13"/>
        <v>/</v>
      </c>
      <c r="P195" s="37" t="str">
        <f t="shared" si="14"/>
        <v>/</v>
      </c>
      <c r="Q195" s="37" t="str">
        <f t="shared" si="15"/>
        <v>/</v>
      </c>
    </row>
    <row r="196" spans="1:17" x14ac:dyDescent="0.25">
      <c r="A196" s="48"/>
      <c r="B196" s="971"/>
      <c r="C196" s="971"/>
      <c r="D196" s="971"/>
      <c r="E196" s="1072"/>
      <c r="F196" s="971"/>
      <c r="G196" s="1062"/>
      <c r="H196" s="975"/>
      <c r="I196" s="975"/>
      <c r="J196" s="975"/>
      <c r="K196" s="48"/>
      <c r="L196" s="48"/>
      <c r="M196" s="48"/>
      <c r="N196" s="37" t="str">
        <f t="shared" si="12"/>
        <v>/</v>
      </c>
      <c r="O196" s="37" t="str">
        <f t="shared" si="13"/>
        <v>/</v>
      </c>
      <c r="P196" s="37" t="str">
        <f t="shared" si="14"/>
        <v>/</v>
      </c>
      <c r="Q196" s="37" t="str">
        <f t="shared" si="15"/>
        <v>/</v>
      </c>
    </row>
    <row r="197" spans="1:17" x14ac:dyDescent="0.25">
      <c r="A197" s="48"/>
      <c r="B197" s="971"/>
      <c r="C197" s="971"/>
      <c r="D197" s="971"/>
      <c r="E197" s="1072"/>
      <c r="F197" s="971"/>
      <c r="G197" s="1062"/>
      <c r="H197" s="975"/>
      <c r="I197" s="975"/>
      <c r="J197" s="975"/>
      <c r="K197" s="48"/>
      <c r="L197" s="48"/>
      <c r="M197" s="48"/>
      <c r="N197" s="37" t="str">
        <f t="shared" si="12"/>
        <v>/</v>
      </c>
      <c r="O197" s="37" t="str">
        <f t="shared" si="13"/>
        <v>/</v>
      </c>
      <c r="P197" s="37" t="str">
        <f t="shared" si="14"/>
        <v>/</v>
      </c>
      <c r="Q197" s="37" t="str">
        <f t="shared" si="15"/>
        <v>/</v>
      </c>
    </row>
    <row r="198" spans="1:17" x14ac:dyDescent="0.25">
      <c r="A198" s="48"/>
      <c r="B198" s="971"/>
      <c r="C198" s="971"/>
      <c r="D198" s="971"/>
      <c r="E198" s="1072"/>
      <c r="F198" s="971"/>
      <c r="G198" s="1062"/>
      <c r="H198" s="975"/>
      <c r="I198" s="975"/>
      <c r="J198" s="975"/>
      <c r="K198" s="48"/>
      <c r="L198" s="48"/>
      <c r="M198" s="48"/>
      <c r="N198" s="37" t="str">
        <f t="shared" si="12"/>
        <v>/</v>
      </c>
      <c r="O198" s="37" t="str">
        <f t="shared" si="13"/>
        <v>/</v>
      </c>
      <c r="P198" s="37" t="str">
        <f t="shared" si="14"/>
        <v>/</v>
      </c>
      <c r="Q198" s="37" t="str">
        <f t="shared" si="15"/>
        <v>/</v>
      </c>
    </row>
    <row r="199" spans="1:17" x14ac:dyDescent="0.25">
      <c r="A199" s="48"/>
      <c r="B199" s="971"/>
      <c r="C199" s="971"/>
      <c r="D199" s="971"/>
      <c r="E199" s="1072"/>
      <c r="F199" s="971"/>
      <c r="G199" s="1062"/>
      <c r="H199" s="975"/>
      <c r="I199" s="975"/>
      <c r="J199" s="975"/>
      <c r="K199" s="48"/>
      <c r="L199" s="48"/>
      <c r="M199" s="48"/>
      <c r="N199" s="37" t="str">
        <f t="shared" si="12"/>
        <v>/</v>
      </c>
      <c r="O199" s="37" t="str">
        <f t="shared" si="13"/>
        <v>/</v>
      </c>
      <c r="P199" s="37" t="str">
        <f t="shared" si="14"/>
        <v>/</v>
      </c>
      <c r="Q199" s="37" t="str">
        <f t="shared" si="15"/>
        <v>/</v>
      </c>
    </row>
    <row r="200" spans="1:17" x14ac:dyDescent="0.25">
      <c r="A200" s="48"/>
      <c r="B200" s="971"/>
      <c r="C200" s="971"/>
      <c r="D200" s="971"/>
      <c r="E200" s="1072"/>
      <c r="F200" s="971"/>
      <c r="G200" s="1062"/>
      <c r="H200" s="975"/>
      <c r="I200" s="975"/>
      <c r="J200" s="975"/>
      <c r="K200" s="48"/>
      <c r="L200" s="48"/>
      <c r="M200" s="48"/>
      <c r="N200" s="37" t="str">
        <f t="shared" si="12"/>
        <v>/</v>
      </c>
      <c r="O200" s="37" t="str">
        <f t="shared" si="13"/>
        <v>/</v>
      </c>
      <c r="P200" s="37" t="str">
        <f t="shared" si="14"/>
        <v>/</v>
      </c>
      <c r="Q200" s="37" t="str">
        <f t="shared" si="15"/>
        <v>/</v>
      </c>
    </row>
    <row r="201" spans="1:17" x14ac:dyDescent="0.25">
      <c r="A201" s="48"/>
      <c r="B201" s="919"/>
      <c r="C201" s="919"/>
      <c r="D201" s="919"/>
      <c r="E201" s="1072"/>
      <c r="F201" s="919"/>
      <c r="G201" s="1062"/>
      <c r="H201" s="932"/>
      <c r="I201" s="932"/>
      <c r="J201" s="932"/>
      <c r="K201" s="48"/>
      <c r="L201" s="48"/>
      <c r="M201" s="48"/>
      <c r="N201" s="37" t="str">
        <f t="shared" si="12"/>
        <v>/</v>
      </c>
      <c r="O201" s="37" t="str">
        <f t="shared" si="13"/>
        <v>/</v>
      </c>
      <c r="P201" s="37" t="str">
        <f t="shared" si="14"/>
        <v>/</v>
      </c>
      <c r="Q201" s="37" t="str">
        <f t="shared" si="15"/>
        <v>/</v>
      </c>
    </row>
    <row r="202" spans="1:17" x14ac:dyDescent="0.25">
      <c r="A202" s="48"/>
      <c r="B202" s="919"/>
      <c r="C202" s="919"/>
      <c r="D202" s="919"/>
      <c r="E202" s="1072"/>
      <c r="F202" s="919"/>
      <c r="G202" s="1062"/>
      <c r="H202" s="932"/>
      <c r="I202" s="932"/>
      <c r="J202" s="932"/>
      <c r="K202" s="48"/>
      <c r="L202" s="48"/>
      <c r="M202" s="48"/>
      <c r="N202" s="37" t="str">
        <f t="shared" si="12"/>
        <v>/</v>
      </c>
      <c r="O202" s="37" t="str">
        <f t="shared" si="13"/>
        <v>/</v>
      </c>
      <c r="P202" s="37" t="str">
        <f t="shared" si="14"/>
        <v>/</v>
      </c>
      <c r="Q202" s="37" t="str">
        <f t="shared" si="15"/>
        <v>/</v>
      </c>
    </row>
    <row r="203" spans="1:17" x14ac:dyDescent="0.25">
      <c r="A203" s="48"/>
      <c r="B203" s="919"/>
      <c r="C203" s="919"/>
      <c r="D203" s="919"/>
      <c r="E203" s="1072"/>
      <c r="F203" s="919"/>
      <c r="G203" s="1062"/>
      <c r="H203" s="932"/>
      <c r="I203" s="932"/>
      <c r="J203" s="932"/>
      <c r="K203" s="48"/>
      <c r="L203" s="48"/>
      <c r="M203" s="48"/>
      <c r="N203" s="37" t="str">
        <f t="shared" si="12"/>
        <v>/</v>
      </c>
      <c r="O203" s="37" t="str">
        <f t="shared" si="13"/>
        <v>/</v>
      </c>
      <c r="P203" s="37" t="str">
        <f t="shared" si="14"/>
        <v>/</v>
      </c>
      <c r="Q203" s="37" t="str">
        <f t="shared" si="15"/>
        <v>/</v>
      </c>
    </row>
    <row r="204" spans="1:17" ht="18.75" customHeight="1" x14ac:dyDescent="0.25">
      <c r="A204" s="48"/>
      <c r="B204" s="932"/>
      <c r="C204" s="932"/>
      <c r="D204" s="932"/>
      <c r="E204" s="932"/>
      <c r="F204" s="932"/>
      <c r="G204" s="932"/>
      <c r="H204" s="932"/>
      <c r="I204" s="932"/>
      <c r="J204" s="932"/>
      <c r="K204" s="48"/>
      <c r="L204" s="48"/>
      <c r="M204" s="48"/>
    </row>
    <row r="205" spans="1:17" ht="18" customHeight="1" x14ac:dyDescent="0.25">
      <c r="A205" s="48"/>
      <c r="B205" s="2236" t="s">
        <v>1668</v>
      </c>
      <c r="C205" s="2237"/>
      <c r="D205" s="2238"/>
      <c r="E205" s="70" t="str">
        <f>IF(COUNTIF(Q189:Q204,"No")=0,IF(AND(G185="Yes",COUNTIF(Q189:Q204,"Yes")&gt;0),"Yes","No"),"No")</f>
        <v>No</v>
      </c>
      <c r="F205" s="932"/>
      <c r="G205" s="932"/>
      <c r="H205" s="932"/>
      <c r="I205" s="932"/>
      <c r="J205" s="932"/>
      <c r="K205" s="48"/>
      <c r="L205" s="48"/>
      <c r="M205" s="48"/>
    </row>
    <row r="206" spans="1:17" ht="19.5" customHeight="1" x14ac:dyDescent="0.25">
      <c r="A206" s="48"/>
      <c r="B206" s="713"/>
      <c r="C206" s="713"/>
      <c r="D206" s="713"/>
      <c r="E206" s="713"/>
      <c r="F206" s="713"/>
      <c r="G206" s="713"/>
      <c r="H206" s="713"/>
      <c r="I206" s="713"/>
      <c r="J206" s="713"/>
      <c r="K206" s="48"/>
      <c r="L206" s="48"/>
      <c r="M206" s="48"/>
    </row>
    <row r="207" spans="1:17" ht="17.25" customHeight="1" x14ac:dyDescent="0.25">
      <c r="A207" s="2115" t="s">
        <v>97</v>
      </c>
      <c r="B207" s="2115"/>
      <c r="C207" s="2115"/>
      <c r="D207" s="49"/>
      <c r="E207" s="49"/>
      <c r="F207" s="49"/>
      <c r="G207" s="49"/>
      <c r="H207" s="49"/>
      <c r="I207" s="49"/>
      <c r="J207" s="49"/>
      <c r="K207" s="49"/>
      <c r="L207" s="49"/>
      <c r="M207" s="49"/>
      <c r="N207" s="49"/>
    </row>
    <row r="208" spans="1:17" x14ac:dyDescent="0.25">
      <c r="A208" s="49"/>
      <c r="B208" s="49"/>
      <c r="C208" s="49"/>
      <c r="D208" s="49"/>
      <c r="E208" s="49"/>
      <c r="F208" s="49"/>
      <c r="G208" s="49"/>
      <c r="H208" s="49"/>
      <c r="I208" s="49"/>
      <c r="J208" s="49"/>
      <c r="K208" s="49"/>
      <c r="L208" s="49"/>
      <c r="M208" s="49"/>
      <c r="N208" s="49"/>
    </row>
    <row r="209" spans="1:17" ht="21.75" customHeight="1" x14ac:dyDescent="0.25">
      <c r="A209" s="49"/>
      <c r="B209" s="2093" t="s">
        <v>98</v>
      </c>
      <c r="C209" s="2094"/>
      <c r="D209" s="2094"/>
      <c r="E209" s="2094"/>
      <c r="F209" s="2094"/>
      <c r="G209" s="256" t="s">
        <v>1297</v>
      </c>
      <c r="H209" s="2095" t="s">
        <v>1298</v>
      </c>
      <c r="I209" s="2095"/>
      <c r="J209" s="49"/>
      <c r="K209" s="49"/>
      <c r="L209" s="49"/>
      <c r="M209" s="49"/>
      <c r="N209" s="49"/>
    </row>
    <row r="210" spans="1:17" ht="27" customHeight="1" x14ac:dyDescent="0.25">
      <c r="A210" s="49"/>
      <c r="B210" s="1644" t="str">
        <f>Submittals!H138</f>
        <v>Select the Submission Stage in Project Information</v>
      </c>
      <c r="C210" s="1645"/>
      <c r="D210" s="1645"/>
      <c r="E210" s="1645"/>
      <c r="F210" s="1645"/>
      <c r="G210" s="974" t="s">
        <v>62</v>
      </c>
      <c r="H210" s="1625"/>
      <c r="I210" s="1626"/>
      <c r="J210" s="49"/>
      <c r="K210" s="49"/>
      <c r="L210" s="49"/>
      <c r="M210" s="49"/>
      <c r="N210" s="37" t="str">
        <f>IF(OR(B210="/",B210="No evidence required at this submission stage"),"Yes",IF(G210="Submitted","Yes","No"))</f>
        <v>No</v>
      </c>
    </row>
    <row r="211" spans="1:17" ht="25.5" hidden="1" customHeight="1" x14ac:dyDescent="0.25">
      <c r="A211" s="49"/>
      <c r="B211" s="1644" t="str">
        <f>Submittals!G139</f>
        <v>• Not available in the draft version of LOTUS Interiors Pilot</v>
      </c>
      <c r="C211" s="1645"/>
      <c r="D211" s="1645"/>
      <c r="E211" s="1645"/>
      <c r="F211" s="1645"/>
      <c r="G211" s="974" t="s">
        <v>62</v>
      </c>
      <c r="H211" s="1625"/>
      <c r="I211" s="1626"/>
      <c r="J211" s="49"/>
      <c r="K211" s="49"/>
      <c r="L211" s="49"/>
      <c r="M211" s="49"/>
      <c r="N211" s="37" t="str">
        <f>IF(OR(B211="/",B211="No evidence required at this submission stage"),"Yes",IF(G211="Submitted","Yes","No"))</f>
        <v>No</v>
      </c>
    </row>
    <row r="212" spans="1:17" s="379" customFormat="1" ht="19.5" customHeight="1" x14ac:dyDescent="0.25">
      <c r="A212" s="49"/>
      <c r="B212" s="49"/>
      <c r="C212" s="49"/>
      <c r="D212" s="49"/>
      <c r="E212" s="49"/>
      <c r="F212" s="49"/>
      <c r="G212" s="49"/>
      <c r="H212" s="49"/>
      <c r="I212" s="49"/>
      <c r="J212" s="49"/>
      <c r="K212" s="49"/>
      <c r="L212" s="49"/>
      <c r="M212" s="49"/>
      <c r="N212" s="49"/>
      <c r="O212" s="37"/>
      <c r="P212" s="37"/>
      <c r="Q212" s="37"/>
    </row>
    <row r="213" spans="1:17" ht="17.25" customHeight="1" x14ac:dyDescent="0.25">
      <c r="A213" s="2115" t="s">
        <v>8</v>
      </c>
      <c r="B213" s="2115"/>
      <c r="C213" s="2115"/>
      <c r="D213" s="49"/>
      <c r="E213" s="49"/>
      <c r="F213" s="49"/>
      <c r="G213" s="49"/>
      <c r="H213" s="49"/>
      <c r="I213" s="49"/>
      <c r="J213" s="49"/>
      <c r="K213" s="49"/>
      <c r="L213" s="49"/>
      <c r="M213" s="49"/>
      <c r="N213" s="49"/>
    </row>
    <row r="214" spans="1:17" x14ac:dyDescent="0.25">
      <c r="A214" s="49"/>
      <c r="B214" s="49"/>
      <c r="C214" s="49"/>
      <c r="D214" s="49"/>
      <c r="E214" s="49"/>
      <c r="F214" s="49"/>
      <c r="G214" s="49"/>
      <c r="H214" s="49"/>
      <c r="I214" s="49"/>
      <c r="J214" s="49"/>
      <c r="K214" s="49"/>
      <c r="L214" s="49"/>
      <c r="M214" s="49"/>
      <c r="N214" s="49"/>
    </row>
    <row r="215" spans="1:17" ht="18" customHeight="1" x14ac:dyDescent="0.25">
      <c r="A215" s="49"/>
      <c r="B215" s="145" t="s">
        <v>19</v>
      </c>
      <c r="C215" s="116">
        <f>IF(E205="Yes",1,0)</f>
        <v>0</v>
      </c>
      <c r="D215" s="49"/>
      <c r="E215" s="49"/>
      <c r="F215" s="49"/>
      <c r="G215" s="49"/>
      <c r="H215" s="49"/>
      <c r="I215" s="49"/>
      <c r="J215" s="49"/>
      <c r="K215" s="49"/>
      <c r="L215" s="49"/>
      <c r="M215" s="49"/>
      <c r="N215" s="49"/>
    </row>
    <row r="216" spans="1:17" ht="18" customHeight="1" x14ac:dyDescent="0.25">
      <c r="A216" s="49"/>
      <c r="B216" s="146" t="s">
        <v>151</v>
      </c>
      <c r="C216" s="7" t="str">
        <f>IF(AND(COUNTIF(N210:N211,"Yes")=2,C215&gt;0),"Yes","No")</f>
        <v>No</v>
      </c>
      <c r="D216" s="49"/>
      <c r="E216" s="49"/>
      <c r="F216" s="49"/>
      <c r="G216" s="49"/>
      <c r="H216" s="49"/>
      <c r="I216" s="49"/>
      <c r="J216" s="49"/>
      <c r="K216" s="49"/>
      <c r="L216" s="49"/>
      <c r="M216" s="49"/>
      <c r="N216" s="49"/>
    </row>
    <row r="217" spans="1:17" x14ac:dyDescent="0.25">
      <c r="A217" s="49"/>
      <c r="B217" s="49"/>
      <c r="C217" s="49"/>
      <c r="D217" s="49"/>
      <c r="E217" s="49"/>
      <c r="F217" s="49"/>
      <c r="G217" s="49"/>
      <c r="H217" s="49"/>
      <c r="I217" s="49"/>
      <c r="J217" s="49"/>
      <c r="K217" s="49"/>
      <c r="L217" s="49"/>
      <c r="M217" s="49"/>
      <c r="N217" s="49"/>
    </row>
    <row r="218" spans="1:17" ht="15" hidden="1" customHeight="1" x14ac:dyDescent="0.25"/>
    <row r="219" spans="1:17" ht="15" hidden="1" customHeight="1" x14ac:dyDescent="0.25"/>
    <row r="220" spans="1:17" ht="15" hidden="1" customHeight="1" x14ac:dyDescent="0.25"/>
    <row r="221" spans="1:17" ht="15" hidden="1" customHeight="1" x14ac:dyDescent="0.25"/>
    <row r="222" spans="1:17" ht="15" hidden="1" customHeight="1" x14ac:dyDescent="0.25"/>
    <row r="223" spans="1:17" ht="15" hidden="1" customHeight="1" x14ac:dyDescent="0.25"/>
    <row r="224" spans="1:17"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sheetData>
  <sheetProtection algorithmName="SHA-512" hashValue="lPjF7dqxvCI83w7Gt43uO+Efkyhvq9ZoIYyKOx1zAsl7JzXgCWoxjwlmG3KqiJI1UUfVJDSRE/k1iHzLUB1dvg==" saltValue="/mEOCJytn3UEY5Q8Ybm75A==" spinCount="100000" sheet="1" objects="1" scenarios="1"/>
  <dataConsolidate/>
  <mergeCells count="106">
    <mergeCell ref="C40:D40"/>
    <mergeCell ref="C45:D45"/>
    <mergeCell ref="C46:D46"/>
    <mergeCell ref="C47:D47"/>
    <mergeCell ref="B114:C114"/>
    <mergeCell ref="D67:E67"/>
    <mergeCell ref="B69:L69"/>
    <mergeCell ref="A116:C116"/>
    <mergeCell ref="H119:I119"/>
    <mergeCell ref="B119:F119"/>
    <mergeCell ref="B53:L53"/>
    <mergeCell ref="B54:L54"/>
    <mergeCell ref="B55:L55"/>
    <mergeCell ref="B60:L60"/>
    <mergeCell ref="B61:L61"/>
    <mergeCell ref="B59:L59"/>
    <mergeCell ref="B122:F122"/>
    <mergeCell ref="H122:I122"/>
    <mergeCell ref="B123:F123"/>
    <mergeCell ref="H123:I123"/>
    <mergeCell ref="B124:F124"/>
    <mergeCell ref="H124:I124"/>
    <mergeCell ref="O141:Q141"/>
    <mergeCell ref="R141:T141"/>
    <mergeCell ref="H120:I120"/>
    <mergeCell ref="A171:M171"/>
    <mergeCell ref="C37:D37"/>
    <mergeCell ref="C38:D38"/>
    <mergeCell ref="C39:D39"/>
    <mergeCell ref="B26:C26"/>
    <mergeCell ref="B27:C27"/>
    <mergeCell ref="B28:C28"/>
    <mergeCell ref="B35:C35"/>
    <mergeCell ref="B33:L33"/>
    <mergeCell ref="H164:I164"/>
    <mergeCell ref="B163:F163"/>
    <mergeCell ref="B120:F120"/>
    <mergeCell ref="G155:H155"/>
    <mergeCell ref="G156:H156"/>
    <mergeCell ref="B158:C158"/>
    <mergeCell ref="A131:M131"/>
    <mergeCell ref="H163:I163"/>
    <mergeCell ref="H162:I162"/>
    <mergeCell ref="B135:J135"/>
    <mergeCell ref="A160:C160"/>
    <mergeCell ref="A133:C133"/>
    <mergeCell ref="A126:C126"/>
    <mergeCell ref="G154:H154"/>
    <mergeCell ref="B58:L58"/>
    <mergeCell ref="F187:F188"/>
    <mergeCell ref="B210:F210"/>
    <mergeCell ref="H209:I209"/>
    <mergeCell ref="H210:I210"/>
    <mergeCell ref="A173:C173"/>
    <mergeCell ref="B205:D205"/>
    <mergeCell ref="B187:B188"/>
    <mergeCell ref="C187:D187"/>
    <mergeCell ref="E187:E188"/>
    <mergeCell ref="A1:M1"/>
    <mergeCell ref="B13:E13"/>
    <mergeCell ref="B14:E14"/>
    <mergeCell ref="B118:F118"/>
    <mergeCell ref="H2:I4"/>
    <mergeCell ref="A5:M7"/>
    <mergeCell ref="B11:E11"/>
    <mergeCell ref="B12:E12"/>
    <mergeCell ref="B15:E15"/>
    <mergeCell ref="H118:I118"/>
    <mergeCell ref="A21:C21"/>
    <mergeCell ref="A9:M9"/>
    <mergeCell ref="A17:M17"/>
    <mergeCell ref="B67:C67"/>
    <mergeCell ref="B23:H23"/>
    <mergeCell ref="B25:C25"/>
    <mergeCell ref="B49:E49"/>
    <mergeCell ref="B110:E110"/>
    <mergeCell ref="B62:L62"/>
    <mergeCell ref="B63:L63"/>
    <mergeCell ref="B64:L64"/>
    <mergeCell ref="B65:L65"/>
    <mergeCell ref="B57:L57"/>
    <mergeCell ref="B56:L56"/>
    <mergeCell ref="A213:C213"/>
    <mergeCell ref="A207:C207"/>
    <mergeCell ref="G141:H141"/>
    <mergeCell ref="G142:H142"/>
    <mergeCell ref="G143:H143"/>
    <mergeCell ref="G144:H144"/>
    <mergeCell ref="G145:H145"/>
    <mergeCell ref="G146:H146"/>
    <mergeCell ref="G147:H147"/>
    <mergeCell ref="G148:H148"/>
    <mergeCell ref="G149:H149"/>
    <mergeCell ref="G150:H150"/>
    <mergeCell ref="G151:H151"/>
    <mergeCell ref="G152:H152"/>
    <mergeCell ref="G153:H153"/>
    <mergeCell ref="B162:F162"/>
    <mergeCell ref="B211:F211"/>
    <mergeCell ref="H211:I211"/>
    <mergeCell ref="B179:J179"/>
    <mergeCell ref="B185:F185"/>
    <mergeCell ref="B182:J182"/>
    <mergeCell ref="B209:F209"/>
    <mergeCell ref="A166:C166"/>
    <mergeCell ref="B164:F164"/>
  </mergeCells>
  <conditionalFormatting sqref="G119">
    <cfRule type="expression" dxfId="201" priority="52">
      <formula>$B119="/"</formula>
    </cfRule>
    <cfRule type="expression" dxfId="200" priority="53">
      <formula>$B119="No evidence required at this submission stage"</formula>
    </cfRule>
  </conditionalFormatting>
  <conditionalFormatting sqref="G120">
    <cfRule type="expression" dxfId="199" priority="43">
      <formula>$B120="/"</formula>
    </cfRule>
    <cfRule type="expression" dxfId="198" priority="44">
      <formula>$B120="No evidence required at this submission stage"</formula>
    </cfRule>
  </conditionalFormatting>
  <conditionalFormatting sqref="H119:I120">
    <cfRule type="expression" dxfId="197" priority="40">
      <formula>$B119="/"</formula>
    </cfRule>
    <cfRule type="expression" dxfId="196" priority="41">
      <formula>$B119="No evidence required at this submission stage"</formula>
    </cfRule>
  </conditionalFormatting>
  <conditionalFormatting sqref="H163:I164">
    <cfRule type="expression" dxfId="195" priority="25">
      <formula>$B163="/"</formula>
    </cfRule>
    <cfRule type="expression" dxfId="194" priority="26">
      <formula>$B163="No evidence required at this submission stage"</formula>
    </cfRule>
  </conditionalFormatting>
  <conditionalFormatting sqref="G163">
    <cfRule type="expression" dxfId="193" priority="29">
      <formula>$B163="/"</formula>
    </cfRule>
    <cfRule type="expression" dxfId="192" priority="30">
      <formula>$B163="No evidence required at this submission stage"</formula>
    </cfRule>
  </conditionalFormatting>
  <conditionalFormatting sqref="G164">
    <cfRule type="expression" dxfId="191" priority="27">
      <formula>$B164="/"</formula>
    </cfRule>
    <cfRule type="expression" dxfId="190" priority="28">
      <formula>$B164="No evidence required at this submission stage"</formula>
    </cfRule>
  </conditionalFormatting>
  <conditionalFormatting sqref="H210:I211">
    <cfRule type="expression" dxfId="189" priority="17">
      <formula>$B210="/"</formula>
    </cfRule>
    <cfRule type="expression" dxfId="188" priority="18">
      <formula>$B210="No evidence required at this submission stage"</formula>
    </cfRule>
  </conditionalFormatting>
  <conditionalFormatting sqref="B210:B211">
    <cfRule type="expression" dxfId="187" priority="24">
      <formula>#REF!&lt;&gt;"Prescriptive Path"</formula>
    </cfRule>
  </conditionalFormatting>
  <conditionalFormatting sqref="G210">
    <cfRule type="expression" dxfId="186" priority="21">
      <formula>$B210="/"</formula>
    </cfRule>
    <cfRule type="expression" dxfId="185" priority="22">
      <formula>$B210="No evidence required at this submission stage"</formula>
    </cfRule>
  </conditionalFormatting>
  <conditionalFormatting sqref="G211">
    <cfRule type="expression" dxfId="184" priority="19">
      <formula>$B211="/"</formula>
    </cfRule>
    <cfRule type="expression" dxfId="183" priority="20">
      <formula>$B211="No evidence required at this submission stage"</formula>
    </cfRule>
  </conditionalFormatting>
  <conditionalFormatting sqref="B163">
    <cfRule type="expression" dxfId="182" priority="16">
      <formula>#REF!&lt;&gt;"Prescriptive Path"</formula>
    </cfRule>
  </conditionalFormatting>
  <conditionalFormatting sqref="B119">
    <cfRule type="expression" dxfId="181" priority="15">
      <formula>#REF!&lt;&gt;"Prescriptive Path"</formula>
    </cfRule>
  </conditionalFormatting>
  <conditionalFormatting sqref="B164">
    <cfRule type="expression" dxfId="180" priority="14">
      <formula>#REF!&lt;&gt;"Prescriptive Path"</formula>
    </cfRule>
  </conditionalFormatting>
  <conditionalFormatting sqref="B120">
    <cfRule type="expression" dxfId="179" priority="13">
      <formula>#REF!&lt;&gt;"Prescriptive Path"</formula>
    </cfRule>
  </conditionalFormatting>
  <conditionalFormatting sqref="H123:I124">
    <cfRule type="expression" dxfId="178" priority="7">
      <formula>$B123="/"</formula>
    </cfRule>
    <cfRule type="expression" dxfId="177" priority="8">
      <formula>$B123="No evidence required at this submission stage"</formula>
    </cfRule>
  </conditionalFormatting>
  <conditionalFormatting sqref="B123">
    <cfRule type="expression" dxfId="176" priority="6">
      <formula>#REF!&lt;&gt;"Prescriptive Path"</formula>
    </cfRule>
  </conditionalFormatting>
  <conditionalFormatting sqref="B124">
    <cfRule type="expression" dxfId="175" priority="5">
      <formula>#REF!&lt;&gt;"Prescriptive Path"</formula>
    </cfRule>
  </conditionalFormatting>
  <conditionalFormatting sqref="G123">
    <cfRule type="expression" dxfId="174" priority="3">
      <formula>$B123="/"</formula>
    </cfRule>
    <cfRule type="expression" dxfId="173" priority="4">
      <formula>$B123="No evidence required at this submission stage"</formula>
    </cfRule>
  </conditionalFormatting>
  <conditionalFormatting sqref="G124">
    <cfRule type="expression" dxfId="172" priority="1">
      <formula>$B124="/"</formula>
    </cfRule>
    <cfRule type="expression" dxfId="171" priority="2">
      <formula>$B124="No evidence required at this submission stage"</formula>
    </cfRule>
  </conditionalFormatting>
  <dataValidations count="15">
    <dataValidation type="list" allowBlank="1" showInputMessage="1" showErrorMessage="1" sqref="G119:G120 G163:G164 G210:G211">
      <formula1>"Select,Submitted,Not submitted"</formula1>
    </dataValidation>
    <dataValidation type="list" allowBlank="1" showInputMessage="1" showErrorMessage="1" sqref="D142:D156">
      <formula1>"Select,individual occupancy,multi-occupant"</formula1>
    </dataValidation>
    <dataValidation type="list" allowBlank="1" showInputMessage="1" showErrorMessage="1" sqref="G73:G87 G185 E142:E156">
      <formula1>"Select,Yes,No"</formula1>
    </dataValidation>
    <dataValidation type="list" allowBlank="1" showInputMessage="1" showErrorMessage="1" sqref="F142:F156">
      <formula1>"Select,Air temperature, radiant temperature, air speed,humidity"</formula1>
    </dataValidation>
    <dataValidation allowBlank="1" showInputMessage="1" showErrorMessage="1" prompt="Describe the type of thermal controls provided." sqref="G142:H156"/>
    <dataValidation type="list" allowBlank="1" showInputMessage="1" showErrorMessage="1" sqref="D26:D28">
      <formula1>"Select,Yes,No,N/A"</formula1>
    </dataValidation>
    <dataValidation type="list" allowBlank="1" showInputMessage="1" showErrorMessage="1" sqref="D67:E67">
      <formula1>"Select,Method 1, Method 2"</formula1>
    </dataValidation>
    <dataValidation type="list" allowBlank="1" showInputMessage="1" showErrorMessage="1" prompt="Occupants have the possibility to open and close windows?" sqref="D73:D87">
      <formula1>"Select,Yes,No"</formula1>
    </dataValidation>
    <dataValidation allowBlank="1" showInputMessage="1" showErrorMessage="1" prompt="Also called: mean monthly outdoor temperature. It is the arithmetic average of the mean daily minimum and mean daily maximum outdoor (dry-bulb) temperature for the hottest month of the year." sqref="E72"/>
    <dataValidation allowBlank="1" showInputMessage="1" showErrorMessage="1" prompt="Also called mean monthly outdoor temperature. It is the arithmetic average of the mean daily minimum and mean daily maximum outdoor (dry-bulb) temperature for the hottest month of the year." sqref="E73:E87"/>
    <dataValidation allowBlank="1" showInputMessage="1" showErrorMessage="1" prompt="Operative temperature is the average of the air temperature_x000a_and the mean radiant temperature weighted, respectively,_x000a_by the convective heat transfer coefficient and the linearized_x000a_radiant heat transfer coefficient for the occupant." sqref="F72:F87"/>
    <dataValidation type="list" allowBlank="1" showInputMessage="1" showErrorMessage="1" prompt="If a room is located in the center of the building and has no contact with any external wall, complete with 'N/A'." sqref="E94:E108">
      <formula1>"Select,external shadings,solar reflectivity,N/A,No"</formula1>
    </dataValidation>
    <dataValidation type="list" allowBlank="1" showInputMessage="1" showErrorMessage="1" sqref="F94:F108">
      <formula1>"Select,reduced LPD,energy efficient appliances,daylighting,No"</formula1>
    </dataValidation>
    <dataValidation type="list" allowBlank="1" showInputMessage="1" showErrorMessage="1" sqref="D94:D108">
      <formula1>"Select,compliant with credit E-1 Strategy A,1 fan for every 20 m2, HVLS fans,No"</formula1>
    </dataValidation>
    <dataValidation type="list" allowBlank="1" showInputMessage="1" showErrorMessage="1" sqref="G123:G124">
      <formula1>Sub_FC</formula1>
    </dataValidation>
  </dataValidations>
  <hyperlinks>
    <hyperlink ref="J4" location="'H-2 CO2 Monitoring'!B3" tooltip="H-2" display="H-2"/>
    <hyperlink ref="J3" location="'H-1 Fresh Air Supply'!B3" tooltip="H-1" display="H-1"/>
    <hyperlink ref="J2" location="'H-PR-1 Indoor Smoking'!B3" tooltip="H-PR-1" display="H-PR-1"/>
    <hyperlink ref="M2" location="'H-9 Lighting Comfort'!B3" tooltip="H-9" display="H-9"/>
    <hyperlink ref="M3" location="'H-11 Acoustic Comfort'!B3" tooltip="H-11" display="H-11"/>
    <hyperlink ref="M4" location="'H-12 Post-occupancy Comfort'!B3" tooltip="H-12" display="H-12"/>
    <hyperlink ref="K3" location="'H-4 Removal of pollutants'!B3" tooltip="H-4" display="H-4"/>
    <hyperlink ref="L3" location="'H-7 Daylighting'!B3" tooltip="H-7" display="H-7"/>
    <hyperlink ref="L4" location="'H-8 External Views'!B3" tooltip="H-8" display="H-8"/>
    <hyperlink ref="L2" location="'H-6 Green Cleaning'!B3" tooltip="H-6" display="H-6"/>
    <hyperlink ref="K4" location="'H-5 Interior Plants'!B3" tooltip="H-5" display="H-5"/>
    <hyperlink ref="K2" location="'H-3 Low-VOC Emissions '!D3" tooltip="H-3" display="H-3"/>
    <hyperlink ref="G70" r:id="rId1"/>
  </hyperlinks>
  <pageMargins left="0.7" right="0.7" top="0.75" bottom="0.75" header="0.3" footer="0.3"/>
  <pageSetup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43634"/>
  </sheetPr>
  <dimension ref="A1:V416"/>
  <sheetViews>
    <sheetView showRowColHeaders="0" workbookViewId="0">
      <pane ySplit="8" topLeftCell="A9" activePane="bottomLeft" state="frozen"/>
      <selection pane="bottomLeft" activeCell="A8" sqref="A8"/>
    </sheetView>
  </sheetViews>
  <sheetFormatPr defaultColWidth="0" defaultRowHeight="15" customHeight="1" zeroHeight="1" x14ac:dyDescent="0.25"/>
  <cols>
    <col min="1" max="1" width="4.7109375" style="399" customWidth="1"/>
    <col min="2" max="3" width="18.28515625" style="37" customWidth="1"/>
    <col min="4" max="6" width="18.42578125" style="37" customWidth="1"/>
    <col min="7" max="7" width="19.42578125" style="37" customWidth="1"/>
    <col min="8" max="8" width="22.85546875" style="37" customWidth="1"/>
    <col min="9" max="9" width="15.42578125" style="37" customWidth="1"/>
    <col min="10" max="13" width="8.5703125" style="37" customWidth="1"/>
    <col min="14" max="19" width="9.140625" style="37" hidden="1" customWidth="1"/>
    <col min="20" max="20" width="27.5703125" style="37" hidden="1" customWidth="1"/>
    <col min="21" max="21" width="30.85546875" style="37" hidden="1" customWidth="1"/>
    <col min="22" max="16384" width="9.140625" style="37" hidden="1"/>
  </cols>
  <sheetData>
    <row r="1" spans="1:14" ht="23.25" x14ac:dyDescent="0.25">
      <c r="A1" s="2104" t="s">
        <v>451</v>
      </c>
      <c r="B1" s="2104"/>
      <c r="C1" s="2104"/>
      <c r="D1" s="2104"/>
      <c r="E1" s="2104"/>
      <c r="F1" s="2104"/>
      <c r="G1" s="2104"/>
      <c r="H1" s="2104"/>
      <c r="I1" s="2104"/>
      <c r="J1" s="2104"/>
      <c r="K1" s="2104"/>
      <c r="L1" s="2104"/>
      <c r="M1" s="2104"/>
    </row>
    <row r="2" spans="1:14" ht="15" customHeight="1" x14ac:dyDescent="0.25">
      <c r="A2" s="48"/>
      <c r="B2" s="49"/>
      <c r="C2" s="49"/>
      <c r="D2" s="49"/>
      <c r="E2" s="49"/>
      <c r="F2" s="545"/>
      <c r="G2" s="545"/>
      <c r="H2" s="1694" t="s">
        <v>1702</v>
      </c>
      <c r="I2" s="1694"/>
      <c r="J2" s="752" t="s">
        <v>340</v>
      </c>
      <c r="K2" s="752" t="s">
        <v>35</v>
      </c>
      <c r="L2" s="752" t="s">
        <v>313</v>
      </c>
      <c r="M2" s="752" t="s">
        <v>316</v>
      </c>
    </row>
    <row r="3" spans="1:14" ht="15" customHeight="1" x14ac:dyDescent="0.25">
      <c r="A3" s="48"/>
      <c r="B3" s="49"/>
      <c r="C3" s="49"/>
      <c r="D3" s="49"/>
      <c r="E3" s="49"/>
      <c r="F3" s="545"/>
      <c r="G3" s="545"/>
      <c r="H3" s="1694"/>
      <c r="I3" s="1694"/>
      <c r="J3" s="752" t="s">
        <v>30</v>
      </c>
      <c r="K3" s="752" t="s">
        <v>37</v>
      </c>
      <c r="L3" s="752" t="s">
        <v>314</v>
      </c>
      <c r="M3" s="752" t="s">
        <v>317</v>
      </c>
    </row>
    <row r="4" spans="1:14" ht="15" customHeight="1" x14ac:dyDescent="0.25">
      <c r="A4" s="48"/>
      <c r="B4" s="49"/>
      <c r="C4" s="49"/>
      <c r="D4" s="49"/>
      <c r="E4" s="49"/>
      <c r="F4" s="546"/>
      <c r="G4" s="546"/>
      <c r="H4" s="1695"/>
      <c r="I4" s="1695"/>
      <c r="J4" s="752" t="s">
        <v>32</v>
      </c>
      <c r="K4" s="752" t="s">
        <v>248</v>
      </c>
      <c r="L4" s="752" t="s">
        <v>315</v>
      </c>
      <c r="M4" s="752" t="s">
        <v>319</v>
      </c>
    </row>
    <row r="5" spans="1:14" ht="21" customHeight="1" x14ac:dyDescent="0.25">
      <c r="A5" s="1704" t="s">
        <v>2842</v>
      </c>
      <c r="B5" s="1705"/>
      <c r="C5" s="1705"/>
      <c r="D5" s="1705"/>
      <c r="E5" s="1705"/>
      <c r="F5" s="1705"/>
      <c r="G5" s="1705"/>
      <c r="H5" s="1705"/>
      <c r="I5" s="1705"/>
      <c r="J5" s="1705"/>
      <c r="K5" s="1705"/>
      <c r="L5" s="1705"/>
      <c r="M5" s="1706"/>
    </row>
    <row r="6" spans="1:14" ht="21" customHeight="1" x14ac:dyDescent="0.25">
      <c r="A6" s="1707"/>
      <c r="B6" s="1708"/>
      <c r="C6" s="1708"/>
      <c r="D6" s="1708"/>
      <c r="E6" s="1708"/>
      <c r="F6" s="1708"/>
      <c r="G6" s="1708"/>
      <c r="H6" s="1708"/>
      <c r="I6" s="1708"/>
      <c r="J6" s="1708"/>
      <c r="K6" s="1708"/>
      <c r="L6" s="1708"/>
      <c r="M6" s="1709"/>
    </row>
    <row r="7" spans="1:14" ht="21" customHeight="1" x14ac:dyDescent="0.25">
      <c r="A7" s="1710"/>
      <c r="B7" s="1711"/>
      <c r="C7" s="1711"/>
      <c r="D7" s="1711"/>
      <c r="E7" s="1711"/>
      <c r="F7" s="1711"/>
      <c r="G7" s="1711"/>
      <c r="H7" s="1711"/>
      <c r="I7" s="1711"/>
      <c r="J7" s="1711"/>
      <c r="K7" s="1711"/>
      <c r="L7" s="1711"/>
      <c r="M7" s="1712"/>
    </row>
    <row r="8" spans="1:14" ht="12" customHeight="1" x14ac:dyDescent="0.25">
      <c r="A8" s="48"/>
      <c r="B8" s="49"/>
      <c r="C8" s="49"/>
      <c r="D8" s="49"/>
      <c r="E8" s="49"/>
      <c r="F8" s="48"/>
      <c r="G8" s="48"/>
      <c r="H8" s="48"/>
      <c r="I8" s="48"/>
      <c r="J8" s="48"/>
      <c r="K8" s="48"/>
      <c r="L8" s="48"/>
      <c r="M8" s="48"/>
    </row>
    <row r="9" spans="1:14" ht="18" customHeight="1" x14ac:dyDescent="0.25">
      <c r="A9" s="2092" t="s">
        <v>250</v>
      </c>
      <c r="B9" s="2092"/>
      <c r="C9" s="2092"/>
      <c r="D9" s="2092"/>
      <c r="E9" s="2092"/>
      <c r="F9" s="2092"/>
      <c r="G9" s="2092"/>
      <c r="H9" s="2092"/>
      <c r="I9" s="2092"/>
      <c r="J9" s="2092"/>
      <c r="K9" s="2092"/>
      <c r="L9" s="2092"/>
      <c r="M9" s="2092"/>
    </row>
    <row r="10" spans="1:14" x14ac:dyDescent="0.25">
      <c r="A10" s="48"/>
      <c r="B10" s="49"/>
      <c r="C10" s="49"/>
      <c r="D10" s="49"/>
      <c r="E10" s="49"/>
      <c r="F10" s="48"/>
      <c r="G10" s="48"/>
      <c r="H10" s="48"/>
      <c r="I10" s="48"/>
      <c r="J10" s="48"/>
      <c r="K10" s="48"/>
      <c r="L10" s="48"/>
      <c r="M10" s="48"/>
    </row>
    <row r="11" spans="1:14" x14ac:dyDescent="0.25">
      <c r="A11" s="48"/>
      <c r="B11" s="2139" t="s">
        <v>114</v>
      </c>
      <c r="C11" s="2140"/>
      <c r="D11" s="2141" t="s">
        <v>62</v>
      </c>
      <c r="E11" s="2141"/>
      <c r="F11" s="48"/>
      <c r="G11" s="48"/>
      <c r="H11" s="48"/>
      <c r="I11" s="48"/>
      <c r="J11" s="48"/>
      <c r="K11" s="48"/>
      <c r="L11" s="48"/>
      <c r="M11" s="48"/>
    </row>
    <row r="12" spans="1:14" x14ac:dyDescent="0.25">
      <c r="A12" s="48"/>
      <c r="B12" s="49"/>
      <c r="C12" s="49"/>
      <c r="D12" s="49"/>
      <c r="E12" s="49"/>
      <c r="F12" s="48"/>
      <c r="G12" s="48"/>
      <c r="H12" s="48"/>
      <c r="I12" s="48"/>
      <c r="J12" s="48"/>
      <c r="K12" s="48"/>
      <c r="L12" s="48"/>
      <c r="M12" s="48"/>
    </row>
    <row r="13" spans="1:14" ht="21" customHeight="1" x14ac:dyDescent="0.25">
      <c r="A13" s="48"/>
      <c r="B13" s="2097" t="s">
        <v>96</v>
      </c>
      <c r="C13" s="2098"/>
      <c r="D13" s="2098"/>
      <c r="E13" s="2098"/>
      <c r="F13" s="677" t="s">
        <v>75</v>
      </c>
      <c r="G13" s="677" t="s">
        <v>19</v>
      </c>
      <c r="H13" s="50" t="s">
        <v>151</v>
      </c>
      <c r="I13" s="48"/>
      <c r="J13" s="48"/>
      <c r="K13" s="48"/>
      <c r="L13" s="48"/>
      <c r="M13" s="48"/>
    </row>
    <row r="14" spans="1:14" ht="44.25" customHeight="1" x14ac:dyDescent="0.25">
      <c r="A14" s="48"/>
      <c r="B14" s="2105" t="s">
        <v>1368</v>
      </c>
      <c r="C14" s="2106" t="s">
        <v>64</v>
      </c>
      <c r="D14" s="2106" t="s">
        <v>64</v>
      </c>
      <c r="E14" s="2107" t="s">
        <v>64</v>
      </c>
      <c r="F14" s="320">
        <v>1</v>
      </c>
      <c r="G14" s="320" t="str">
        <f>IF(D11="Option A: Internal Noise Levels",C58,"/")</f>
        <v>/</v>
      </c>
      <c r="H14" s="320" t="str">
        <f>IF(D11="Option A: Internal Noise Levels",C59,"/")</f>
        <v>/</v>
      </c>
      <c r="I14" s="48"/>
      <c r="J14" s="48"/>
      <c r="K14" s="48"/>
      <c r="L14" s="48"/>
      <c r="M14" s="48"/>
    </row>
    <row r="15" spans="1:14" ht="44.25" customHeight="1" x14ac:dyDescent="0.25">
      <c r="A15" s="48"/>
      <c r="B15" s="2105" t="s">
        <v>1367</v>
      </c>
      <c r="C15" s="2106" t="s">
        <v>64</v>
      </c>
      <c r="D15" s="2106" t="s">
        <v>64</v>
      </c>
      <c r="E15" s="2107" t="s">
        <v>64</v>
      </c>
      <c r="F15" s="253">
        <v>1</v>
      </c>
      <c r="G15" s="253" t="str">
        <f>IF(D11="Option B: Reverberation Time",C127,"/")</f>
        <v>/</v>
      </c>
      <c r="H15" s="253" t="str">
        <f>IF(D11="Option B: Reverberation Time",C128,"/")</f>
        <v>/</v>
      </c>
      <c r="I15" s="48"/>
      <c r="J15" s="48"/>
      <c r="K15" s="48"/>
      <c r="L15" s="48"/>
      <c r="M15" s="48"/>
      <c r="N15" s="37">
        <f>IF(D11="Option A: Internal Noise Levels",C58,0)+IF(D11="Option B: Reverberation Time",C127,0)</f>
        <v>0</v>
      </c>
    </row>
    <row r="16" spans="1:14" x14ac:dyDescent="0.25">
      <c r="A16" s="48"/>
      <c r="B16" s="49"/>
      <c r="C16" s="49"/>
      <c r="D16" s="49"/>
      <c r="E16" s="49"/>
      <c r="F16" s="48"/>
      <c r="G16" s="48"/>
      <c r="H16" s="48"/>
      <c r="I16" s="48"/>
      <c r="J16" s="48"/>
      <c r="K16" s="48"/>
      <c r="L16" s="48"/>
      <c r="M16" s="48"/>
    </row>
    <row r="17" spans="1:14" ht="18" customHeight="1" x14ac:dyDescent="0.25">
      <c r="A17" s="2092" t="s">
        <v>1369</v>
      </c>
      <c r="B17" s="2092"/>
      <c r="C17" s="2092"/>
      <c r="D17" s="2092"/>
      <c r="E17" s="2092"/>
      <c r="F17" s="2092"/>
      <c r="G17" s="2092"/>
      <c r="H17" s="2092"/>
      <c r="I17" s="2092"/>
      <c r="J17" s="2092"/>
      <c r="K17" s="2092"/>
      <c r="L17" s="2092"/>
      <c r="M17" s="2092"/>
    </row>
    <row r="18" spans="1:14" x14ac:dyDescent="0.25">
      <c r="A18" s="127"/>
      <c r="B18" s="127"/>
      <c r="C18" s="127"/>
      <c r="D18" s="127"/>
      <c r="E18" s="127"/>
      <c r="F18" s="127"/>
      <c r="G18" s="127"/>
      <c r="H18" s="127"/>
      <c r="I18" s="127"/>
      <c r="J18" s="127"/>
      <c r="K18" s="127"/>
      <c r="L18" s="127"/>
      <c r="M18" s="127"/>
    </row>
    <row r="19" spans="1:14" ht="17.25" customHeight="1" x14ac:dyDescent="0.25">
      <c r="A19" s="823" t="s">
        <v>117</v>
      </c>
      <c r="B19" s="45"/>
      <c r="C19" s="51"/>
      <c r="D19" s="127"/>
      <c r="E19" s="127"/>
      <c r="F19" s="127"/>
      <c r="G19" s="127"/>
      <c r="H19" s="127"/>
      <c r="I19" s="127"/>
      <c r="J19" s="127"/>
      <c r="K19" s="127"/>
      <c r="L19" s="127"/>
      <c r="M19" s="127"/>
      <c r="N19" s="49"/>
    </row>
    <row r="20" spans="1:14" x14ac:dyDescent="0.25">
      <c r="A20" s="123"/>
      <c r="B20" s="123"/>
      <c r="C20" s="123"/>
      <c r="D20" s="127"/>
      <c r="E20" s="127"/>
      <c r="F20" s="127"/>
      <c r="G20" s="127"/>
      <c r="H20" s="127"/>
      <c r="I20" s="127"/>
      <c r="J20" s="127"/>
      <c r="K20" s="127"/>
      <c r="L20" s="127"/>
      <c r="M20" s="127"/>
      <c r="N20" s="48"/>
    </row>
    <row r="21" spans="1:14" x14ac:dyDescent="0.25">
      <c r="A21" s="123"/>
      <c r="B21" s="654" t="s">
        <v>1670</v>
      </c>
      <c r="C21" s="123"/>
      <c r="D21" s="127"/>
      <c r="E21" s="127"/>
      <c r="F21" s="127"/>
      <c r="G21" s="127"/>
      <c r="H21" s="127"/>
      <c r="I21" s="127"/>
      <c r="J21" s="127"/>
      <c r="K21" s="127"/>
      <c r="L21" s="127"/>
      <c r="M21" s="127"/>
      <c r="N21" s="48"/>
    </row>
    <row r="22" spans="1:14" x14ac:dyDescent="0.25">
      <c r="A22" s="123"/>
      <c r="B22" s="123"/>
      <c r="C22" s="123"/>
      <c r="D22" s="127"/>
      <c r="E22" s="127"/>
      <c r="F22" s="127"/>
      <c r="G22" s="127"/>
      <c r="H22" s="127"/>
      <c r="I22" s="127"/>
      <c r="J22" s="127"/>
      <c r="K22" s="127"/>
      <c r="L22" s="127"/>
      <c r="M22" s="127"/>
      <c r="N22" s="48"/>
    </row>
    <row r="23" spans="1:14" x14ac:dyDescent="0.25">
      <c r="A23" s="123"/>
      <c r="B23" s="123"/>
      <c r="C23" s="123"/>
      <c r="D23" s="127"/>
      <c r="E23" s="127"/>
      <c r="F23" s="127"/>
      <c r="G23" s="127"/>
      <c r="H23" s="127"/>
      <c r="I23" s="127"/>
      <c r="J23" s="127"/>
      <c r="K23" s="127"/>
      <c r="L23" s="127"/>
      <c r="M23" s="127"/>
      <c r="N23" s="48"/>
    </row>
    <row r="24" spans="1:14" x14ac:dyDescent="0.25">
      <c r="A24" s="123"/>
      <c r="B24" s="957" t="s">
        <v>1739</v>
      </c>
      <c r="C24" s="127"/>
      <c r="D24" s="127"/>
      <c r="E24" s="127"/>
      <c r="F24" s="127"/>
      <c r="G24" s="127"/>
      <c r="H24" s="127"/>
      <c r="I24" s="127"/>
      <c r="J24" s="127"/>
      <c r="K24" s="127"/>
      <c r="L24" s="127"/>
      <c r="M24" s="127"/>
      <c r="N24" s="48"/>
    </row>
    <row r="25" spans="1:14" x14ac:dyDescent="0.25">
      <c r="A25" s="123"/>
      <c r="B25" s="127"/>
      <c r="C25" s="127"/>
      <c r="D25" s="127"/>
      <c r="E25" s="127"/>
      <c r="F25" s="127"/>
      <c r="G25" s="127"/>
      <c r="H25" s="127"/>
      <c r="I25" s="127"/>
      <c r="J25" s="127"/>
      <c r="K25" s="127"/>
      <c r="L25" s="127"/>
      <c r="M25" s="127"/>
      <c r="N25" s="48"/>
    </row>
    <row r="26" spans="1:14" ht="31.5" customHeight="1" x14ac:dyDescent="0.25">
      <c r="A26" s="123"/>
      <c r="B26" s="976" t="s">
        <v>716</v>
      </c>
      <c r="C26" s="972" t="s">
        <v>924</v>
      </c>
      <c r="D26" s="972" t="s">
        <v>1738</v>
      </c>
      <c r="E26" s="972" t="s">
        <v>1736</v>
      </c>
      <c r="F26" s="972" t="s">
        <v>1737</v>
      </c>
      <c r="G26" s="2110" t="s">
        <v>15</v>
      </c>
      <c r="H26" s="2114"/>
      <c r="I26" s="127"/>
      <c r="J26" s="127"/>
      <c r="K26" s="127"/>
      <c r="L26" s="127"/>
      <c r="M26" s="127"/>
    </row>
    <row r="27" spans="1:14" x14ac:dyDescent="0.25">
      <c r="A27" s="123"/>
      <c r="B27" s="919"/>
      <c r="C27" s="919"/>
      <c r="D27" s="971" t="s">
        <v>62</v>
      </c>
      <c r="E27" s="980" t="s">
        <v>62</v>
      </c>
      <c r="F27" s="971"/>
      <c r="G27" s="1625"/>
      <c r="H27" s="1626"/>
      <c r="I27" s="127"/>
      <c r="J27" s="127"/>
      <c r="K27" s="127"/>
      <c r="L27" s="127"/>
      <c r="M27" s="127"/>
      <c r="N27" s="37" t="str">
        <f>IF(AND(D27&lt;&gt;"Select",D27&lt;&gt;"",E27&lt;&gt;"",E27&lt;&gt;"Select",F27&lt;&gt;""),IF(F27&lt;=D27+E27,"Yes","No"),"")</f>
        <v/>
      </c>
    </row>
    <row r="28" spans="1:14" x14ac:dyDescent="0.25">
      <c r="A28" s="123"/>
      <c r="B28" s="971"/>
      <c r="C28" s="971"/>
      <c r="D28" s="971" t="s">
        <v>62</v>
      </c>
      <c r="E28" s="980" t="s">
        <v>62</v>
      </c>
      <c r="F28" s="971"/>
      <c r="G28" s="1625"/>
      <c r="H28" s="1626"/>
      <c r="I28" s="127"/>
      <c r="J28" s="127"/>
      <c r="K28" s="127"/>
      <c r="L28" s="127"/>
      <c r="M28" s="127"/>
      <c r="N28" s="37" t="str">
        <f t="shared" ref="N28:N46" si="0">IF(AND(D28&lt;&gt;"Select",D28&lt;&gt;"",E28&lt;&gt;"",E28&lt;&gt;"Select"),IF(F28&lt;=D28+E28,"Yes","No"),"")</f>
        <v/>
      </c>
    </row>
    <row r="29" spans="1:14" x14ac:dyDescent="0.25">
      <c r="A29" s="123"/>
      <c r="B29" s="971"/>
      <c r="C29" s="971"/>
      <c r="D29" s="971" t="s">
        <v>62</v>
      </c>
      <c r="E29" s="971" t="s">
        <v>62</v>
      </c>
      <c r="F29" s="971"/>
      <c r="G29" s="1625"/>
      <c r="H29" s="1626"/>
      <c r="I29" s="127"/>
      <c r="J29" s="127"/>
      <c r="K29" s="127"/>
      <c r="L29" s="127"/>
      <c r="M29" s="127"/>
      <c r="N29" s="37" t="str">
        <f t="shared" si="0"/>
        <v/>
      </c>
    </row>
    <row r="30" spans="1:14" x14ac:dyDescent="0.25">
      <c r="A30" s="123"/>
      <c r="B30" s="971"/>
      <c r="C30" s="971"/>
      <c r="D30" s="971" t="s">
        <v>62</v>
      </c>
      <c r="E30" s="971" t="s">
        <v>62</v>
      </c>
      <c r="F30" s="971"/>
      <c r="G30" s="1625"/>
      <c r="H30" s="1626"/>
      <c r="I30" s="127"/>
      <c r="J30" s="127"/>
      <c r="K30" s="127"/>
      <c r="L30" s="127"/>
      <c r="M30" s="127"/>
      <c r="N30" s="37" t="str">
        <f t="shared" si="0"/>
        <v/>
      </c>
    </row>
    <row r="31" spans="1:14" x14ac:dyDescent="0.25">
      <c r="A31" s="123"/>
      <c r="B31" s="971"/>
      <c r="C31" s="971"/>
      <c r="D31" s="971" t="s">
        <v>62</v>
      </c>
      <c r="E31" s="971" t="s">
        <v>62</v>
      </c>
      <c r="F31" s="971"/>
      <c r="G31" s="1625"/>
      <c r="H31" s="1626"/>
      <c r="I31" s="127"/>
      <c r="J31" s="127"/>
      <c r="K31" s="127"/>
      <c r="L31" s="127"/>
      <c r="M31" s="127"/>
      <c r="N31" s="37" t="str">
        <f t="shared" si="0"/>
        <v/>
      </c>
    </row>
    <row r="32" spans="1:14" x14ac:dyDescent="0.25">
      <c r="A32" s="123"/>
      <c r="B32" s="971"/>
      <c r="C32" s="971"/>
      <c r="D32" s="971" t="s">
        <v>62</v>
      </c>
      <c r="E32" s="971" t="s">
        <v>62</v>
      </c>
      <c r="F32" s="971"/>
      <c r="G32" s="1625"/>
      <c r="H32" s="1626"/>
      <c r="I32" s="127"/>
      <c r="J32" s="127"/>
      <c r="K32" s="127"/>
      <c r="L32" s="127"/>
      <c r="M32" s="127"/>
      <c r="N32" s="37" t="str">
        <f t="shared" si="0"/>
        <v/>
      </c>
    </row>
    <row r="33" spans="1:14" x14ac:dyDescent="0.25">
      <c r="A33" s="123"/>
      <c r="B33" s="971"/>
      <c r="C33" s="971"/>
      <c r="D33" s="971" t="s">
        <v>62</v>
      </c>
      <c r="E33" s="971" t="s">
        <v>62</v>
      </c>
      <c r="F33" s="971"/>
      <c r="G33" s="1625"/>
      <c r="H33" s="1626"/>
      <c r="I33" s="127"/>
      <c r="J33" s="127"/>
      <c r="K33" s="127"/>
      <c r="L33" s="127"/>
      <c r="M33" s="127"/>
      <c r="N33" s="37" t="str">
        <f t="shared" si="0"/>
        <v/>
      </c>
    </row>
    <row r="34" spans="1:14" x14ac:dyDescent="0.25">
      <c r="A34" s="123"/>
      <c r="B34" s="971"/>
      <c r="C34" s="971"/>
      <c r="D34" s="971" t="s">
        <v>62</v>
      </c>
      <c r="E34" s="971" t="s">
        <v>62</v>
      </c>
      <c r="F34" s="971"/>
      <c r="G34" s="1625"/>
      <c r="H34" s="1626"/>
      <c r="I34" s="127"/>
      <c r="J34" s="127"/>
      <c r="K34" s="127"/>
      <c r="L34" s="127"/>
      <c r="M34" s="127"/>
      <c r="N34" s="37" t="str">
        <f t="shared" si="0"/>
        <v/>
      </c>
    </row>
    <row r="35" spans="1:14" x14ac:dyDescent="0.25">
      <c r="A35" s="123"/>
      <c r="B35" s="971"/>
      <c r="C35" s="971"/>
      <c r="D35" s="971" t="s">
        <v>62</v>
      </c>
      <c r="E35" s="971" t="s">
        <v>62</v>
      </c>
      <c r="F35" s="971"/>
      <c r="G35" s="1625"/>
      <c r="H35" s="1626"/>
      <c r="I35" s="127"/>
      <c r="J35" s="127"/>
      <c r="K35" s="127"/>
      <c r="L35" s="127"/>
      <c r="M35" s="127"/>
      <c r="N35" s="37" t="str">
        <f t="shared" si="0"/>
        <v/>
      </c>
    </row>
    <row r="36" spans="1:14" x14ac:dyDescent="0.25">
      <c r="A36" s="123"/>
      <c r="B36" s="971"/>
      <c r="C36" s="971"/>
      <c r="D36" s="971" t="s">
        <v>62</v>
      </c>
      <c r="E36" s="971" t="s">
        <v>62</v>
      </c>
      <c r="F36" s="971"/>
      <c r="G36" s="1625"/>
      <c r="H36" s="1626"/>
      <c r="I36" s="127"/>
      <c r="J36" s="127"/>
      <c r="K36" s="127"/>
      <c r="L36" s="127"/>
      <c r="M36" s="127"/>
      <c r="N36" s="37" t="str">
        <f t="shared" si="0"/>
        <v/>
      </c>
    </row>
    <row r="37" spans="1:14" x14ac:dyDescent="0.25">
      <c r="A37" s="123"/>
      <c r="B37" s="971"/>
      <c r="C37" s="971"/>
      <c r="D37" s="971" t="s">
        <v>62</v>
      </c>
      <c r="E37" s="971" t="s">
        <v>62</v>
      </c>
      <c r="F37" s="971"/>
      <c r="G37" s="1625"/>
      <c r="H37" s="1626"/>
      <c r="I37" s="127"/>
      <c r="J37" s="127"/>
      <c r="K37" s="127"/>
      <c r="L37" s="127"/>
      <c r="M37" s="127"/>
      <c r="N37" s="37" t="str">
        <f t="shared" si="0"/>
        <v/>
      </c>
    </row>
    <row r="38" spans="1:14" x14ac:dyDescent="0.25">
      <c r="A38" s="123"/>
      <c r="B38" s="971"/>
      <c r="C38" s="971"/>
      <c r="D38" s="971" t="s">
        <v>62</v>
      </c>
      <c r="E38" s="971" t="s">
        <v>62</v>
      </c>
      <c r="F38" s="971"/>
      <c r="G38" s="1625"/>
      <c r="H38" s="1626"/>
      <c r="I38" s="127"/>
      <c r="J38" s="127"/>
      <c r="K38" s="127"/>
      <c r="L38" s="127"/>
      <c r="M38" s="127"/>
      <c r="N38" s="37" t="str">
        <f t="shared" si="0"/>
        <v/>
      </c>
    </row>
    <row r="39" spans="1:14" x14ac:dyDescent="0.25">
      <c r="A39" s="123"/>
      <c r="B39" s="971"/>
      <c r="C39" s="971"/>
      <c r="D39" s="971" t="s">
        <v>62</v>
      </c>
      <c r="E39" s="971" t="s">
        <v>62</v>
      </c>
      <c r="F39" s="971"/>
      <c r="G39" s="1625"/>
      <c r="H39" s="1626"/>
      <c r="I39" s="127"/>
      <c r="J39" s="127"/>
      <c r="K39" s="127"/>
      <c r="L39" s="127"/>
      <c r="M39" s="127"/>
      <c r="N39" s="37" t="str">
        <f t="shared" si="0"/>
        <v/>
      </c>
    </row>
    <row r="40" spans="1:14" x14ac:dyDescent="0.25">
      <c r="A40" s="123"/>
      <c r="B40" s="971"/>
      <c r="C40" s="971"/>
      <c r="D40" s="971" t="s">
        <v>62</v>
      </c>
      <c r="E40" s="971" t="s">
        <v>62</v>
      </c>
      <c r="F40" s="971"/>
      <c r="G40" s="1625"/>
      <c r="H40" s="1626"/>
      <c r="I40" s="127"/>
      <c r="J40" s="127"/>
      <c r="K40" s="127"/>
      <c r="L40" s="127"/>
      <c r="M40" s="127"/>
      <c r="N40" s="37" t="str">
        <f t="shared" si="0"/>
        <v/>
      </c>
    </row>
    <row r="41" spans="1:14" x14ac:dyDescent="0.25">
      <c r="A41" s="123"/>
      <c r="B41" s="971"/>
      <c r="C41" s="971"/>
      <c r="D41" s="971" t="s">
        <v>62</v>
      </c>
      <c r="E41" s="971" t="s">
        <v>62</v>
      </c>
      <c r="F41" s="971"/>
      <c r="G41" s="1625"/>
      <c r="H41" s="1626"/>
      <c r="I41" s="127"/>
      <c r="J41" s="127"/>
      <c r="K41" s="127"/>
      <c r="L41" s="127"/>
      <c r="M41" s="127"/>
      <c r="N41" s="37" t="str">
        <f t="shared" si="0"/>
        <v/>
      </c>
    </row>
    <row r="42" spans="1:14" x14ac:dyDescent="0.25">
      <c r="A42" s="123"/>
      <c r="B42" s="971"/>
      <c r="C42" s="971"/>
      <c r="D42" s="971" t="s">
        <v>62</v>
      </c>
      <c r="E42" s="971" t="s">
        <v>62</v>
      </c>
      <c r="F42" s="971"/>
      <c r="G42" s="1625"/>
      <c r="H42" s="1626"/>
      <c r="I42" s="127"/>
      <c r="J42" s="127"/>
      <c r="K42" s="127"/>
      <c r="L42" s="127"/>
      <c r="M42" s="127"/>
      <c r="N42" s="37" t="str">
        <f t="shared" si="0"/>
        <v/>
      </c>
    </row>
    <row r="43" spans="1:14" x14ac:dyDescent="0.25">
      <c r="A43" s="123"/>
      <c r="B43" s="971"/>
      <c r="C43" s="971"/>
      <c r="D43" s="971" t="s">
        <v>62</v>
      </c>
      <c r="E43" s="971" t="s">
        <v>62</v>
      </c>
      <c r="F43" s="971"/>
      <c r="G43" s="1625"/>
      <c r="H43" s="1626"/>
      <c r="I43" s="127"/>
      <c r="J43" s="127"/>
      <c r="K43" s="127"/>
      <c r="L43" s="127"/>
      <c r="M43" s="127"/>
      <c r="N43" s="37" t="str">
        <f t="shared" si="0"/>
        <v/>
      </c>
    </row>
    <row r="44" spans="1:14" x14ac:dyDescent="0.25">
      <c r="A44" s="123"/>
      <c r="B44" s="971"/>
      <c r="C44" s="971"/>
      <c r="D44" s="971" t="s">
        <v>62</v>
      </c>
      <c r="E44" s="971" t="s">
        <v>62</v>
      </c>
      <c r="F44" s="971"/>
      <c r="G44" s="1625"/>
      <c r="H44" s="1626"/>
      <c r="I44" s="127"/>
      <c r="J44" s="127"/>
      <c r="K44" s="127"/>
      <c r="L44" s="127"/>
      <c r="M44" s="127"/>
      <c r="N44" s="37" t="str">
        <f t="shared" si="0"/>
        <v/>
      </c>
    </row>
    <row r="45" spans="1:14" x14ac:dyDescent="0.25">
      <c r="A45" s="127"/>
      <c r="B45" s="971"/>
      <c r="C45" s="971"/>
      <c r="D45" s="971" t="s">
        <v>62</v>
      </c>
      <c r="E45" s="971" t="s">
        <v>62</v>
      </c>
      <c r="F45" s="971"/>
      <c r="G45" s="1625"/>
      <c r="H45" s="1626"/>
      <c r="I45" s="127"/>
      <c r="J45" s="127"/>
      <c r="K45" s="127"/>
      <c r="L45" s="127"/>
      <c r="M45" s="127"/>
      <c r="N45" s="37" t="str">
        <f t="shared" si="0"/>
        <v/>
      </c>
    </row>
    <row r="46" spans="1:14" x14ac:dyDescent="0.25">
      <c r="A46" s="127"/>
      <c r="B46" s="971"/>
      <c r="C46" s="971"/>
      <c r="D46" s="971" t="s">
        <v>62</v>
      </c>
      <c r="E46" s="971" t="s">
        <v>62</v>
      </c>
      <c r="F46" s="971"/>
      <c r="G46" s="1625"/>
      <c r="H46" s="1626"/>
      <c r="I46" s="127"/>
      <c r="J46" s="127"/>
      <c r="K46" s="127"/>
      <c r="L46" s="127"/>
      <c r="M46" s="127"/>
      <c r="N46" s="37" t="str">
        <f t="shared" si="0"/>
        <v/>
      </c>
    </row>
    <row r="47" spans="1:14" x14ac:dyDescent="0.25">
      <c r="A47" s="127"/>
      <c r="B47" s="127"/>
      <c r="C47" s="127"/>
      <c r="D47" s="127"/>
      <c r="E47" s="127"/>
      <c r="F47" s="127"/>
      <c r="G47" s="127"/>
      <c r="H47" s="127"/>
      <c r="I47" s="127"/>
      <c r="J47" s="127"/>
      <c r="K47" s="127"/>
      <c r="L47" s="127"/>
      <c r="M47" s="127"/>
    </row>
    <row r="48" spans="1:14" ht="19.5" customHeight="1" x14ac:dyDescent="0.25">
      <c r="A48" s="127"/>
      <c r="B48" s="2102" t="s">
        <v>2060</v>
      </c>
      <c r="C48" s="2102"/>
      <c r="D48" s="70" t="str">
        <f>IF(AND(COUNTIF(N27:N46,"No")=0,COUNTIF(N27:N46,"Yes")&gt;=1),"Yes","No")</f>
        <v>No</v>
      </c>
      <c r="E48" s="127"/>
      <c r="F48" s="127"/>
      <c r="G48" s="127"/>
      <c r="H48" s="127"/>
      <c r="I48" s="127"/>
      <c r="J48" s="127"/>
      <c r="K48" s="127"/>
      <c r="L48" s="127"/>
      <c r="M48" s="127"/>
    </row>
    <row r="49" spans="1:16" ht="19.5" customHeight="1" x14ac:dyDescent="0.25">
      <c r="A49" s="127"/>
      <c r="B49" s="127"/>
      <c r="C49" s="127"/>
      <c r="D49" s="127"/>
      <c r="E49" s="127"/>
      <c r="F49" s="127"/>
      <c r="G49" s="127"/>
      <c r="H49" s="127"/>
      <c r="I49" s="127"/>
      <c r="J49" s="127"/>
      <c r="K49" s="127"/>
      <c r="L49" s="127"/>
      <c r="M49" s="127"/>
    </row>
    <row r="50" spans="1:16" ht="17.25" customHeight="1" x14ac:dyDescent="0.25">
      <c r="A50" s="823" t="s">
        <v>97</v>
      </c>
      <c r="B50" s="45"/>
      <c r="C50" s="45"/>
      <c r="D50" s="127"/>
      <c r="E50" s="127"/>
      <c r="F50" s="127"/>
      <c r="G50" s="127"/>
      <c r="H50" s="127"/>
      <c r="I50" s="127"/>
      <c r="J50" s="127"/>
      <c r="K50" s="127"/>
      <c r="L50" s="127"/>
      <c r="M50" s="127"/>
      <c r="N50" s="49"/>
    </row>
    <row r="51" spans="1:16" x14ac:dyDescent="0.25">
      <c r="A51" s="127"/>
      <c r="B51" s="127"/>
      <c r="C51" s="127"/>
      <c r="D51" s="127"/>
      <c r="E51" s="127"/>
      <c r="F51" s="127"/>
      <c r="G51" s="127"/>
      <c r="H51" s="127"/>
      <c r="I51" s="127"/>
      <c r="J51" s="127"/>
      <c r="K51" s="127"/>
      <c r="L51" s="127"/>
      <c r="M51" s="127"/>
      <c r="N51" s="49"/>
    </row>
    <row r="52" spans="1:16" ht="21" customHeight="1" x14ac:dyDescent="0.25">
      <c r="A52" s="127"/>
      <c r="B52" s="2093" t="s">
        <v>98</v>
      </c>
      <c r="C52" s="2094"/>
      <c r="D52" s="2094"/>
      <c r="E52" s="2094"/>
      <c r="F52" s="2094"/>
      <c r="G52" s="826" t="s">
        <v>1297</v>
      </c>
      <c r="H52" s="2095" t="s">
        <v>1298</v>
      </c>
      <c r="I52" s="2095"/>
      <c r="J52" s="127"/>
      <c r="K52" s="127"/>
      <c r="L52" s="127"/>
      <c r="M52" s="127"/>
      <c r="N52" s="49"/>
    </row>
    <row r="53" spans="1:16" ht="27" customHeight="1" x14ac:dyDescent="0.25">
      <c r="A53" s="127"/>
      <c r="B53" s="1644" t="str">
        <f>Submittals!H140</f>
        <v>Select the Submission Stage in Project Information</v>
      </c>
      <c r="C53" s="1645"/>
      <c r="D53" s="1645"/>
      <c r="E53" s="1645"/>
      <c r="F53" s="1645"/>
      <c r="G53" s="828" t="s">
        <v>62</v>
      </c>
      <c r="H53" s="1625"/>
      <c r="I53" s="1626"/>
      <c r="J53" s="127"/>
      <c r="K53" s="127"/>
      <c r="L53" s="127"/>
      <c r="M53" s="127"/>
      <c r="N53" s="37" t="str">
        <f>IF(OR(B53="/",B53="No evidence required at this submission stage"),"Yes",IF(G53="Submitted","Yes","No"))</f>
        <v>No</v>
      </c>
    </row>
    <row r="54" spans="1:16" ht="25.5" hidden="1" customHeight="1" x14ac:dyDescent="0.25">
      <c r="A54" s="127"/>
      <c r="B54" s="1644" t="str">
        <f>Submittals!H141</f>
        <v>Select the Submission Stage in Project Information</v>
      </c>
      <c r="C54" s="1645"/>
      <c r="D54" s="1645"/>
      <c r="E54" s="1645"/>
      <c r="F54" s="1645"/>
      <c r="G54" s="828" t="s">
        <v>62</v>
      </c>
      <c r="H54" s="1625"/>
      <c r="I54" s="1626"/>
      <c r="J54" s="127"/>
      <c r="K54" s="127"/>
      <c r="L54" s="127"/>
      <c r="M54" s="127"/>
      <c r="N54" s="37" t="str">
        <f>IF(OR(B54="/",B54="No evidence required at this submission stage"),"Yes",IF(G54="Submitted","Yes","No"))</f>
        <v>No</v>
      </c>
    </row>
    <row r="55" spans="1:16" customFormat="1" x14ac:dyDescent="0.25">
      <c r="A55" s="127"/>
      <c r="B55" s="127"/>
      <c r="C55" s="127"/>
      <c r="D55" s="127"/>
      <c r="E55" s="127"/>
      <c r="F55" s="127"/>
      <c r="G55" s="127"/>
      <c r="H55" s="127"/>
      <c r="I55" s="127"/>
      <c r="J55" s="127"/>
      <c r="K55" s="127"/>
      <c r="L55" s="127"/>
      <c r="M55" s="127"/>
      <c r="N55" s="49"/>
      <c r="O55" s="37"/>
      <c r="P55" s="37"/>
    </row>
    <row r="56" spans="1:16" ht="17.25" customHeight="1" x14ac:dyDescent="0.25">
      <c r="A56" s="823" t="s">
        <v>8</v>
      </c>
      <c r="B56" s="45"/>
      <c r="C56" s="45"/>
      <c r="D56" s="127"/>
      <c r="E56" s="127"/>
      <c r="F56" s="127"/>
      <c r="G56" s="127"/>
      <c r="H56" s="127"/>
      <c r="I56" s="127"/>
      <c r="J56" s="127"/>
      <c r="K56" s="127"/>
      <c r="L56" s="127"/>
      <c r="M56" s="127"/>
      <c r="N56" s="49"/>
    </row>
    <row r="57" spans="1:16" x14ac:dyDescent="0.25">
      <c r="A57" s="127"/>
      <c r="B57" s="127"/>
      <c r="C57" s="127"/>
      <c r="D57" s="127"/>
      <c r="E57" s="127"/>
      <c r="F57" s="127"/>
      <c r="G57" s="127"/>
      <c r="H57" s="127"/>
      <c r="I57" s="127"/>
      <c r="J57" s="127"/>
      <c r="K57" s="127"/>
      <c r="L57" s="127"/>
      <c r="M57" s="127"/>
      <c r="N57" s="49"/>
    </row>
    <row r="58" spans="1:16" ht="16.5" customHeight="1" x14ac:dyDescent="0.25">
      <c r="A58" s="127"/>
      <c r="B58" s="145" t="s">
        <v>19</v>
      </c>
      <c r="C58" s="116">
        <f>IF($D$11&lt;&gt;"Option A: Internal Noise Levels",0,IF(D48="Yes",1,0))</f>
        <v>0</v>
      </c>
      <c r="D58" s="127"/>
      <c r="E58" s="127"/>
      <c r="F58" s="127"/>
      <c r="G58" s="127"/>
      <c r="H58" s="127"/>
      <c r="I58" s="127"/>
      <c r="J58" s="127"/>
      <c r="K58" s="127"/>
      <c r="L58" s="127"/>
      <c r="M58" s="127"/>
      <c r="N58" s="49"/>
    </row>
    <row r="59" spans="1:16" ht="16.5" customHeight="1" x14ac:dyDescent="0.25">
      <c r="A59" s="127"/>
      <c r="B59" s="146" t="s">
        <v>151</v>
      </c>
      <c r="C59" s="7" t="str">
        <f>IF(AND(COUNTIF(N53:N53,"Yes")=1,C58&gt;0),"Yes","No")</f>
        <v>No</v>
      </c>
      <c r="D59" s="127"/>
      <c r="E59" s="127"/>
      <c r="F59" s="127"/>
      <c r="G59" s="127"/>
      <c r="H59" s="127"/>
      <c r="I59" s="127"/>
      <c r="J59" s="127"/>
      <c r="K59" s="127"/>
      <c r="L59" s="127"/>
      <c r="M59" s="127"/>
      <c r="N59" s="49"/>
    </row>
    <row r="60" spans="1:16" ht="20.25" customHeight="1" x14ac:dyDescent="0.25">
      <c r="A60" s="127"/>
      <c r="B60" s="127"/>
      <c r="C60" s="127"/>
      <c r="D60" s="127"/>
      <c r="E60" s="127"/>
      <c r="F60" s="127"/>
      <c r="G60" s="127"/>
      <c r="H60" s="127"/>
      <c r="I60" s="127"/>
      <c r="J60" s="127"/>
      <c r="K60" s="127"/>
      <c r="L60" s="127"/>
      <c r="M60" s="127"/>
      <c r="N60" s="49"/>
    </row>
    <row r="61" spans="1:16" ht="18" customHeight="1" x14ac:dyDescent="0.25">
      <c r="A61" s="2092" t="s">
        <v>1370</v>
      </c>
      <c r="B61" s="2092"/>
      <c r="C61" s="2092"/>
      <c r="D61" s="2092"/>
      <c r="E61" s="2092"/>
      <c r="F61" s="2092"/>
      <c r="G61" s="2092"/>
      <c r="H61" s="2092"/>
      <c r="I61" s="2092"/>
      <c r="J61" s="2092"/>
      <c r="K61" s="2092"/>
      <c r="L61" s="2092"/>
      <c r="M61" s="2092"/>
    </row>
    <row r="62" spans="1:16" x14ac:dyDescent="0.25">
      <c r="A62" s="365"/>
      <c r="B62" s="366"/>
      <c r="C62" s="366"/>
      <c r="D62" s="366"/>
      <c r="E62" s="366"/>
      <c r="F62" s="366"/>
      <c r="G62" s="366"/>
      <c r="H62" s="366"/>
      <c r="I62" s="365"/>
      <c r="J62" s="365"/>
      <c r="K62" s="365"/>
      <c r="L62" s="365"/>
      <c r="M62" s="365"/>
    </row>
    <row r="63" spans="1:16" ht="17.25" customHeight="1" x14ac:dyDescent="0.25">
      <c r="A63" s="823" t="s">
        <v>117</v>
      </c>
      <c r="B63" s="45"/>
      <c r="C63" s="51"/>
      <c r="D63" s="366"/>
      <c r="E63" s="366"/>
      <c r="F63" s="366"/>
      <c r="G63" s="366"/>
      <c r="H63" s="366"/>
      <c r="I63" s="366"/>
      <c r="J63" s="366"/>
      <c r="K63" s="366"/>
      <c r="L63" s="366"/>
      <c r="M63" s="366"/>
      <c r="N63" s="49"/>
    </row>
    <row r="64" spans="1:16" x14ac:dyDescent="0.25">
      <c r="A64" s="365"/>
      <c r="B64" s="365"/>
      <c r="C64" s="365"/>
      <c r="D64" s="365"/>
      <c r="E64" s="365"/>
      <c r="F64" s="365"/>
      <c r="G64" s="365"/>
      <c r="H64" s="365"/>
      <c r="I64" s="365"/>
      <c r="J64" s="365"/>
      <c r="K64" s="365"/>
      <c r="L64" s="365"/>
      <c r="M64" s="365"/>
      <c r="N64" s="48"/>
    </row>
    <row r="65" spans="1:22" x14ac:dyDescent="0.25">
      <c r="A65" s="365"/>
      <c r="B65" s="841" t="s">
        <v>1841</v>
      </c>
      <c r="C65" s="366"/>
      <c r="D65" s="365"/>
      <c r="E65" s="365"/>
      <c r="F65" s="365"/>
      <c r="G65" s="365"/>
      <c r="H65" s="365"/>
      <c r="I65" s="365"/>
      <c r="J65" s="365"/>
      <c r="K65" s="365"/>
      <c r="L65" s="365"/>
      <c r="M65" s="365"/>
      <c r="N65" s="48"/>
    </row>
    <row r="66" spans="1:22" x14ac:dyDescent="0.25">
      <c r="A66" s="365"/>
      <c r="B66" s="365"/>
      <c r="C66" s="365"/>
      <c r="D66" s="365"/>
      <c r="E66" s="365"/>
      <c r="F66" s="365"/>
      <c r="G66" s="365"/>
      <c r="H66" s="365"/>
      <c r="I66" s="365"/>
      <c r="J66" s="365"/>
      <c r="K66" s="365"/>
      <c r="L66" s="365"/>
      <c r="M66" s="365"/>
      <c r="N66" s="48"/>
    </row>
    <row r="67" spans="1:22" x14ac:dyDescent="0.25">
      <c r="A67" s="365"/>
      <c r="B67" s="2303" t="s">
        <v>1877</v>
      </c>
      <c r="C67" s="2303"/>
      <c r="D67" s="2303"/>
      <c r="E67" s="2303"/>
      <c r="F67" s="365"/>
      <c r="G67" s="365"/>
      <c r="H67" s="365"/>
      <c r="I67" s="365"/>
      <c r="J67" s="365"/>
      <c r="K67" s="365"/>
      <c r="L67" s="365"/>
      <c r="M67" s="365"/>
      <c r="N67" s="48"/>
    </row>
    <row r="68" spans="1:22" ht="18" customHeight="1" x14ac:dyDescent="0.25">
      <c r="A68" s="365"/>
      <c r="B68" s="1284" t="s">
        <v>924</v>
      </c>
      <c r="C68" s="2110" t="s">
        <v>1842</v>
      </c>
      <c r="D68" s="2110"/>
      <c r="E68" s="1033" t="s">
        <v>1843</v>
      </c>
      <c r="F68" s="365"/>
      <c r="G68" s="365"/>
      <c r="H68" s="365"/>
      <c r="I68" s="365"/>
      <c r="J68" s="365"/>
      <c r="K68" s="365"/>
      <c r="L68" s="365"/>
      <c r="M68" s="365"/>
      <c r="N68" s="48"/>
      <c r="O68" s="37" t="s">
        <v>62</v>
      </c>
    </row>
    <row r="69" spans="1:22" ht="25.5" x14ac:dyDescent="0.25">
      <c r="A69" s="365"/>
      <c r="B69" s="1290" t="s">
        <v>1844</v>
      </c>
      <c r="C69" s="2302" t="s">
        <v>1515</v>
      </c>
      <c r="D69" s="2302"/>
      <c r="E69" s="1047" t="s">
        <v>1845</v>
      </c>
      <c r="F69" s="365"/>
      <c r="G69" s="365"/>
      <c r="H69" s="365"/>
      <c r="I69" s="365"/>
      <c r="J69" s="365"/>
      <c r="K69" s="365"/>
      <c r="L69" s="365"/>
      <c r="M69" s="365"/>
      <c r="N69" s="48"/>
      <c r="O69" s="37" t="str">
        <f>B69</f>
        <v>Apartment and condominium</v>
      </c>
      <c r="T69" s="37" t="str">
        <f>B69</f>
        <v>Apartment and condominium</v>
      </c>
      <c r="U69" s="1048" t="s">
        <v>1844</v>
      </c>
      <c r="V69" s="1047">
        <v>0.6</v>
      </c>
    </row>
    <row r="70" spans="1:22" ht="26.25" customHeight="1" x14ac:dyDescent="0.25">
      <c r="A70" s="365"/>
      <c r="B70" s="1739" t="s">
        <v>1846</v>
      </c>
      <c r="C70" s="1873" t="s">
        <v>1847</v>
      </c>
      <c r="D70" s="1873"/>
      <c r="E70" s="1029" t="s">
        <v>1845</v>
      </c>
      <c r="F70" s="365"/>
      <c r="G70" s="365"/>
      <c r="H70" s="365"/>
      <c r="I70" s="365"/>
      <c r="J70" s="365"/>
      <c r="K70" s="365"/>
      <c r="L70" s="365"/>
      <c r="M70" s="365"/>
      <c r="N70" s="48"/>
      <c r="O70" s="37" t="str">
        <f>B70</f>
        <v>Hotel/motel</v>
      </c>
      <c r="T70" s="37" t="str">
        <f>B70</f>
        <v>Hotel/motel</v>
      </c>
      <c r="U70" s="1048" t="s">
        <v>1847</v>
      </c>
      <c r="V70" s="1047">
        <v>0.6</v>
      </c>
    </row>
    <row r="71" spans="1:22" ht="15" customHeight="1" x14ac:dyDescent="0.25">
      <c r="A71" s="365"/>
      <c r="B71" s="1739"/>
      <c r="C71" s="1873" t="s">
        <v>1848</v>
      </c>
      <c r="D71" s="1873"/>
      <c r="E71" s="1029" t="s">
        <v>1849</v>
      </c>
      <c r="F71" s="365"/>
      <c r="G71" s="365"/>
      <c r="H71" s="365"/>
      <c r="I71" s="365"/>
      <c r="J71" s="365"/>
      <c r="K71" s="365"/>
      <c r="L71" s="365"/>
      <c r="M71" s="365"/>
      <c r="N71" s="48"/>
      <c r="O71" s="37" t="str">
        <f>B72</f>
        <v>Office building</v>
      </c>
      <c r="T71" s="37" t="s">
        <v>1888</v>
      </c>
      <c r="U71" s="1048" t="s">
        <v>1848</v>
      </c>
      <c r="V71" s="1029">
        <v>0.8</v>
      </c>
    </row>
    <row r="72" spans="1:22" ht="15" customHeight="1" x14ac:dyDescent="0.25">
      <c r="A72" s="365"/>
      <c r="B72" s="1739" t="s">
        <v>1850</v>
      </c>
      <c r="C72" s="1873" t="s">
        <v>1851</v>
      </c>
      <c r="D72" s="1873"/>
      <c r="E72" s="1029" t="s">
        <v>1845</v>
      </c>
      <c r="F72" s="365"/>
      <c r="G72" s="365"/>
      <c r="H72" s="365"/>
      <c r="I72" s="365"/>
      <c r="J72" s="365"/>
      <c r="K72" s="365"/>
      <c r="L72" s="365"/>
      <c r="M72" s="365"/>
      <c r="N72" s="48"/>
      <c r="O72" s="37" t="str">
        <f>B75</f>
        <v>Hospital &amp; Clinic</v>
      </c>
      <c r="T72" s="37" t="str">
        <f>B72</f>
        <v>Office building</v>
      </c>
      <c r="U72" s="1048" t="s">
        <v>1851</v>
      </c>
      <c r="V72" s="1047">
        <v>0.6</v>
      </c>
    </row>
    <row r="73" spans="1:22" ht="15" customHeight="1" x14ac:dyDescent="0.25">
      <c r="A73" s="365"/>
      <c r="B73" s="1739"/>
      <c r="C73" s="1873" t="s">
        <v>1852</v>
      </c>
      <c r="D73" s="1873"/>
      <c r="E73" s="1029" t="s">
        <v>1845</v>
      </c>
      <c r="F73" s="365"/>
      <c r="G73" s="365"/>
      <c r="H73" s="365"/>
      <c r="I73" s="365"/>
      <c r="J73" s="365"/>
      <c r="K73" s="365"/>
      <c r="L73" s="365"/>
      <c r="M73" s="365"/>
      <c r="N73" s="48"/>
      <c r="O73" s="37" t="str">
        <f>B77</f>
        <v>Courtroom</v>
      </c>
      <c r="T73" s="37" t="s">
        <v>1886</v>
      </c>
      <c r="U73" s="1048" t="s">
        <v>1852</v>
      </c>
      <c r="V73" s="1047">
        <v>0.6</v>
      </c>
    </row>
    <row r="74" spans="1:22" ht="15" customHeight="1" x14ac:dyDescent="0.25">
      <c r="A74" s="365"/>
      <c r="B74" s="1739"/>
      <c r="C74" s="1873" t="s">
        <v>1853</v>
      </c>
      <c r="D74" s="1873"/>
      <c r="E74" s="1029" t="s">
        <v>1849</v>
      </c>
      <c r="F74" s="365"/>
      <c r="G74" s="365"/>
      <c r="H74" s="365"/>
      <c r="I74" s="365"/>
      <c r="J74" s="365"/>
      <c r="K74" s="365"/>
      <c r="L74" s="365"/>
      <c r="M74" s="365"/>
      <c r="N74" s="48"/>
      <c r="O74" s="37" t="str">
        <f>B79</f>
        <v>Performing arts space</v>
      </c>
      <c r="T74" s="37" t="s">
        <v>1887</v>
      </c>
      <c r="U74" s="1048" t="s">
        <v>1853</v>
      </c>
      <c r="V74" s="1029">
        <v>0.8</v>
      </c>
    </row>
    <row r="75" spans="1:22" ht="15" customHeight="1" x14ac:dyDescent="0.25">
      <c r="A75" s="365"/>
      <c r="B75" s="1739" t="s">
        <v>1854</v>
      </c>
      <c r="C75" s="1873" t="s">
        <v>1855</v>
      </c>
      <c r="D75" s="1873"/>
      <c r="E75" s="1029" t="s">
        <v>1845</v>
      </c>
      <c r="F75" s="365"/>
      <c r="G75" s="365"/>
      <c r="H75" s="365"/>
      <c r="I75" s="365"/>
      <c r="J75" s="365"/>
      <c r="K75" s="365"/>
      <c r="L75" s="365"/>
      <c r="M75" s="365"/>
      <c r="N75" s="48"/>
      <c r="O75" s="37" t="str">
        <f>B80</f>
        <v>Laboratories</v>
      </c>
      <c r="T75" s="37" t="str">
        <f t="shared" ref="T75:T85" si="1">B75</f>
        <v>Hospital &amp; Clinic</v>
      </c>
      <c r="U75" s="1048" t="s">
        <v>1855</v>
      </c>
      <c r="V75" s="1047">
        <v>0.6</v>
      </c>
    </row>
    <row r="76" spans="1:22" x14ac:dyDescent="0.25">
      <c r="A76" s="365"/>
      <c r="B76" s="1739"/>
      <c r="C76" s="1873" t="s">
        <v>1856</v>
      </c>
      <c r="D76" s="1873"/>
      <c r="E76" s="1029" t="s">
        <v>1845</v>
      </c>
      <c r="F76" s="365"/>
      <c r="G76" s="365"/>
      <c r="H76" s="365"/>
      <c r="I76" s="365"/>
      <c r="J76" s="365"/>
      <c r="K76" s="365"/>
      <c r="L76" s="365"/>
      <c r="M76" s="365"/>
      <c r="N76" s="48"/>
      <c r="O76" s="37" t="str">
        <f>B82</f>
        <v>Library</v>
      </c>
      <c r="T76" s="37" t="s">
        <v>1885</v>
      </c>
      <c r="U76" s="1048" t="s">
        <v>1856</v>
      </c>
      <c r="V76" s="1047">
        <v>0.6</v>
      </c>
    </row>
    <row r="77" spans="1:22" ht="15" customHeight="1" x14ac:dyDescent="0.25">
      <c r="A77" s="365"/>
      <c r="B77" s="1739" t="s">
        <v>1857</v>
      </c>
      <c r="C77" s="1873" t="s">
        <v>1858</v>
      </c>
      <c r="D77" s="1873"/>
      <c r="E77" s="1029" t="s">
        <v>1859</v>
      </c>
      <c r="F77" s="365"/>
      <c r="G77" s="365"/>
      <c r="H77" s="365"/>
      <c r="I77" s="365"/>
      <c r="J77" s="365"/>
      <c r="K77" s="365"/>
      <c r="L77" s="365"/>
      <c r="M77" s="365"/>
      <c r="N77" s="48"/>
      <c r="O77" s="37" t="str">
        <f>B83</f>
        <v>Indoor stadium, gymnasium</v>
      </c>
      <c r="T77" s="37" t="str">
        <f t="shared" si="1"/>
        <v>Courtroom</v>
      </c>
      <c r="U77" s="1048" t="s">
        <v>1858</v>
      </c>
      <c r="V77" s="1029">
        <v>0.7</v>
      </c>
    </row>
    <row r="78" spans="1:22" ht="15" customHeight="1" x14ac:dyDescent="0.25">
      <c r="A78" s="365"/>
      <c r="B78" s="1739"/>
      <c r="C78" s="1873" t="s">
        <v>1860</v>
      </c>
      <c r="D78" s="1873"/>
      <c r="E78" s="1029" t="s">
        <v>1861</v>
      </c>
      <c r="F78" s="365"/>
      <c r="G78" s="365"/>
      <c r="H78" s="365"/>
      <c r="I78" s="365"/>
      <c r="J78" s="365"/>
      <c r="K78" s="365"/>
      <c r="L78" s="365"/>
      <c r="M78" s="365"/>
      <c r="N78" s="48"/>
      <c r="O78" s="37" t="str">
        <f>B85</f>
        <v>School</v>
      </c>
      <c r="T78" s="37" t="s">
        <v>1884</v>
      </c>
      <c r="U78" s="1048" t="s">
        <v>1860</v>
      </c>
      <c r="V78" s="1029">
        <v>1</v>
      </c>
    </row>
    <row r="79" spans="1:22" ht="25.5" customHeight="1" x14ac:dyDescent="0.25">
      <c r="A79" s="365"/>
      <c r="B79" s="1283" t="s">
        <v>1862</v>
      </c>
      <c r="C79" s="1873" t="s">
        <v>1863</v>
      </c>
      <c r="D79" s="1873"/>
      <c r="E79" s="1028" t="s">
        <v>1864</v>
      </c>
      <c r="F79" s="365"/>
      <c r="G79" s="365"/>
      <c r="H79" s="365"/>
      <c r="I79" s="365"/>
      <c r="J79" s="365"/>
      <c r="K79" s="365"/>
      <c r="L79" s="365"/>
      <c r="M79" s="365"/>
      <c r="N79" s="48"/>
      <c r="T79" s="37" t="str">
        <f t="shared" si="1"/>
        <v>Performing arts space</v>
      </c>
      <c r="U79" s="1048" t="s">
        <v>1863</v>
      </c>
      <c r="V79" s="1028" t="s">
        <v>1864</v>
      </c>
    </row>
    <row r="80" spans="1:22" ht="25.5" customHeight="1" x14ac:dyDescent="0.25">
      <c r="A80" s="365"/>
      <c r="B80" s="1739" t="s">
        <v>1865</v>
      </c>
      <c r="C80" s="1873" t="s">
        <v>1866</v>
      </c>
      <c r="D80" s="1873"/>
      <c r="E80" s="1029" t="s">
        <v>1861</v>
      </c>
      <c r="F80" s="365"/>
      <c r="G80" s="365"/>
      <c r="H80" s="365"/>
      <c r="I80" s="365"/>
      <c r="J80" s="365"/>
      <c r="K80" s="365"/>
      <c r="L80" s="365"/>
      <c r="M80" s="365"/>
      <c r="N80" s="48"/>
      <c r="T80" s="37" t="str">
        <f t="shared" si="1"/>
        <v>Laboratories</v>
      </c>
      <c r="U80" s="1048" t="s">
        <v>1866</v>
      </c>
      <c r="V80" s="1029">
        <v>1</v>
      </c>
    </row>
    <row r="81" spans="1:22" ht="25.5" customHeight="1" x14ac:dyDescent="0.25">
      <c r="A81" s="365"/>
      <c r="B81" s="1739"/>
      <c r="C81" s="1873" t="s">
        <v>1867</v>
      </c>
      <c r="D81" s="1873"/>
      <c r="E81" s="1029" t="s">
        <v>1845</v>
      </c>
      <c r="F81" s="365"/>
      <c r="G81" s="365"/>
      <c r="H81" s="365"/>
      <c r="I81" s="365"/>
      <c r="J81" s="365"/>
      <c r="K81" s="365"/>
      <c r="L81" s="365"/>
      <c r="M81" s="365"/>
      <c r="N81" s="48"/>
      <c r="T81" s="37" t="s">
        <v>1883</v>
      </c>
      <c r="U81" s="1048" t="s">
        <v>1867</v>
      </c>
      <c r="V81" s="1047">
        <v>0.6</v>
      </c>
    </row>
    <row r="82" spans="1:22" x14ac:dyDescent="0.25">
      <c r="A82" s="365"/>
      <c r="B82" s="1283" t="s">
        <v>1868</v>
      </c>
      <c r="C82" s="1873" t="s">
        <v>1515</v>
      </c>
      <c r="D82" s="1873"/>
      <c r="E82" s="1029" t="s">
        <v>1861</v>
      </c>
      <c r="F82" s="365"/>
      <c r="G82" s="365"/>
      <c r="H82" s="365"/>
      <c r="I82" s="365"/>
      <c r="J82" s="365"/>
      <c r="K82" s="365"/>
      <c r="L82" s="365"/>
      <c r="M82" s="365"/>
      <c r="N82" s="48"/>
      <c r="T82" s="37" t="str">
        <f t="shared" si="1"/>
        <v>Library</v>
      </c>
      <c r="U82" s="1048" t="s">
        <v>1868</v>
      </c>
      <c r="V82" s="1029">
        <v>1</v>
      </c>
    </row>
    <row r="83" spans="1:22" ht="15" customHeight="1" x14ac:dyDescent="0.25">
      <c r="A83" s="365"/>
      <c r="B83" s="1739" t="s">
        <v>1869</v>
      </c>
      <c r="C83" s="1873" t="s">
        <v>1870</v>
      </c>
      <c r="D83" s="1873"/>
      <c r="E83" s="1029" t="s">
        <v>1871</v>
      </c>
      <c r="F83" s="365"/>
      <c r="G83" s="365"/>
      <c r="H83" s="365"/>
      <c r="I83" s="365"/>
      <c r="J83" s="365"/>
      <c r="K83" s="365"/>
      <c r="L83" s="365"/>
      <c r="M83" s="365"/>
      <c r="N83" s="48"/>
      <c r="T83" s="37" t="str">
        <f t="shared" si="1"/>
        <v>Indoor stadium, gymnasium</v>
      </c>
      <c r="U83" s="1048" t="s">
        <v>1870</v>
      </c>
      <c r="V83" s="1029">
        <v>2</v>
      </c>
    </row>
    <row r="84" spans="1:22" ht="25.5" customHeight="1" x14ac:dyDescent="0.25">
      <c r="A84" s="365"/>
      <c r="B84" s="1739"/>
      <c r="C84" s="1873" t="s">
        <v>1872</v>
      </c>
      <c r="D84" s="1873"/>
      <c r="E84" s="1029" t="s">
        <v>1873</v>
      </c>
      <c r="F84" s="365"/>
      <c r="G84" s="365"/>
      <c r="H84" s="365"/>
      <c r="I84" s="365"/>
      <c r="J84" s="365"/>
      <c r="K84" s="365"/>
      <c r="L84" s="365"/>
      <c r="M84" s="365"/>
      <c r="N84" s="48"/>
      <c r="T84" s="37" t="s">
        <v>1882</v>
      </c>
      <c r="U84" s="1048" t="s">
        <v>1872</v>
      </c>
      <c r="V84" s="1029">
        <v>1.5</v>
      </c>
    </row>
    <row r="85" spans="1:22" ht="15" customHeight="1" x14ac:dyDescent="0.25">
      <c r="A85" s="365"/>
      <c r="B85" s="1739" t="s">
        <v>920</v>
      </c>
      <c r="C85" s="1873" t="s">
        <v>1874</v>
      </c>
      <c r="D85" s="1873"/>
      <c r="E85" s="1029" t="s">
        <v>1845</v>
      </c>
      <c r="F85" s="365"/>
      <c r="G85" s="365"/>
      <c r="H85" s="365"/>
      <c r="I85" s="365"/>
      <c r="J85" s="365"/>
      <c r="K85" s="365"/>
      <c r="L85" s="365"/>
      <c r="M85" s="365"/>
      <c r="N85" s="48"/>
      <c r="T85" s="37" t="str">
        <f t="shared" si="1"/>
        <v>School</v>
      </c>
      <c r="U85" s="1048" t="s">
        <v>1874</v>
      </c>
      <c r="V85" s="1047">
        <v>0.6</v>
      </c>
    </row>
    <row r="86" spans="1:22" ht="25.5" customHeight="1" x14ac:dyDescent="0.25">
      <c r="A86" s="365"/>
      <c r="B86" s="1739"/>
      <c r="C86" s="1873" t="s">
        <v>1875</v>
      </c>
      <c r="D86" s="1873"/>
      <c r="E86" s="1029" t="s">
        <v>1859</v>
      </c>
      <c r="F86" s="365"/>
      <c r="G86" s="365"/>
      <c r="H86" s="365"/>
      <c r="I86" s="365"/>
      <c r="J86" s="365"/>
      <c r="K86" s="365"/>
      <c r="L86" s="365"/>
      <c r="M86" s="365"/>
      <c r="N86" s="48"/>
      <c r="T86" s="37" t="s">
        <v>1880</v>
      </c>
      <c r="U86" s="1048" t="s">
        <v>1875</v>
      </c>
      <c r="V86" s="1029">
        <v>0.7</v>
      </c>
    </row>
    <row r="87" spans="1:22" ht="25.5" customHeight="1" x14ac:dyDescent="0.25">
      <c r="A87" s="365"/>
      <c r="B87" s="1739"/>
      <c r="C87" s="1873" t="s">
        <v>1876</v>
      </c>
      <c r="D87" s="1873"/>
      <c r="E87" s="1029" t="s">
        <v>1861</v>
      </c>
      <c r="F87" s="365"/>
      <c r="G87" s="365"/>
      <c r="H87" s="365"/>
      <c r="I87" s="365"/>
      <c r="J87" s="365"/>
      <c r="K87" s="365"/>
      <c r="L87" s="365"/>
      <c r="M87" s="365"/>
      <c r="N87" s="48"/>
      <c r="T87" s="37" t="s">
        <v>1881</v>
      </c>
      <c r="U87" s="1048" t="s">
        <v>1876</v>
      </c>
      <c r="V87" s="1029">
        <v>1</v>
      </c>
    </row>
    <row r="88" spans="1:22" x14ac:dyDescent="0.25">
      <c r="A88" s="365"/>
      <c r="B88" s="365"/>
      <c r="C88" s="365"/>
      <c r="D88" s="365"/>
      <c r="E88" s="365"/>
      <c r="F88" s="365"/>
      <c r="G88" s="365"/>
      <c r="H88" s="365"/>
      <c r="I88" s="365"/>
      <c r="J88" s="365"/>
      <c r="K88" s="365"/>
      <c r="L88" s="365"/>
      <c r="M88" s="365"/>
      <c r="N88" s="48"/>
    </row>
    <row r="89" spans="1:22" x14ac:dyDescent="0.25">
      <c r="A89" s="365"/>
      <c r="B89" s="842" t="s">
        <v>1371</v>
      </c>
      <c r="C89" s="365"/>
      <c r="D89" s="365"/>
      <c r="E89" s="365"/>
      <c r="F89" s="365"/>
      <c r="G89" s="365"/>
      <c r="H89" s="365"/>
      <c r="I89" s="365"/>
      <c r="J89" s="365"/>
      <c r="K89" s="365"/>
      <c r="L89" s="365"/>
      <c r="M89" s="365"/>
      <c r="N89" s="48"/>
    </row>
    <row r="90" spans="1:22" x14ac:dyDescent="0.25">
      <c r="A90" s="365"/>
      <c r="B90" s="842" t="s">
        <v>2061</v>
      </c>
      <c r="C90" s="365"/>
      <c r="D90" s="365"/>
      <c r="E90" s="365"/>
      <c r="F90" s="365"/>
      <c r="G90" s="365"/>
      <c r="H90" s="365"/>
      <c r="I90" s="365"/>
      <c r="J90" s="365"/>
      <c r="K90" s="365"/>
      <c r="L90" s="365"/>
      <c r="M90" s="365"/>
      <c r="N90" s="48"/>
    </row>
    <row r="91" spans="1:22" x14ac:dyDescent="0.25">
      <c r="A91" s="365"/>
      <c r="B91" s="842" t="s">
        <v>2662</v>
      </c>
      <c r="C91" s="365"/>
      <c r="D91" s="365"/>
      <c r="E91" s="365"/>
      <c r="F91" s="365"/>
      <c r="G91" s="365"/>
      <c r="H91" s="365"/>
      <c r="I91" s="1291" t="s">
        <v>2663</v>
      </c>
      <c r="J91" s="365"/>
      <c r="K91" s="365"/>
      <c r="L91" s="365"/>
      <c r="M91" s="365"/>
      <c r="N91" s="48"/>
    </row>
    <row r="92" spans="1:22" x14ac:dyDescent="0.25">
      <c r="A92" s="365"/>
      <c r="B92" s="366"/>
      <c r="C92" s="366"/>
      <c r="D92" s="366"/>
      <c r="E92" s="366"/>
      <c r="F92" s="365"/>
      <c r="G92" s="365"/>
      <c r="H92" s="365"/>
      <c r="I92" s="365"/>
      <c r="J92" s="365"/>
      <c r="K92" s="365"/>
      <c r="L92" s="365"/>
      <c r="M92" s="365"/>
    </row>
    <row r="93" spans="1:22" x14ac:dyDescent="0.25">
      <c r="A93" s="365"/>
      <c r="B93" s="843" t="s">
        <v>2661</v>
      </c>
      <c r="C93" s="366"/>
      <c r="D93" s="366"/>
      <c r="E93" s="366"/>
      <c r="F93" s="365"/>
      <c r="G93" s="365"/>
      <c r="H93" s="365"/>
      <c r="I93" s="365"/>
      <c r="J93" s="365"/>
      <c r="K93" s="365"/>
      <c r="L93" s="365"/>
      <c r="M93" s="365"/>
    </row>
    <row r="94" spans="1:22" ht="17.25" customHeight="1" x14ac:dyDescent="0.25">
      <c r="A94" s="366"/>
      <c r="B94" s="366"/>
      <c r="C94" s="366"/>
      <c r="D94" s="366"/>
      <c r="E94" s="366"/>
      <c r="F94" s="365"/>
      <c r="G94" s="366"/>
      <c r="H94" s="366"/>
      <c r="I94" s="366"/>
      <c r="J94" s="366"/>
      <c r="K94" s="366"/>
      <c r="L94" s="366"/>
      <c r="M94" s="366"/>
      <c r="N94" s="49"/>
    </row>
    <row r="95" spans="1:22" ht="28.5" customHeight="1" x14ac:dyDescent="0.25">
      <c r="A95" s="366"/>
      <c r="B95" s="976" t="s">
        <v>716</v>
      </c>
      <c r="C95" s="972" t="s">
        <v>924</v>
      </c>
      <c r="D95" s="1031" t="s">
        <v>1842</v>
      </c>
      <c r="E95" s="1031" t="s">
        <v>1372</v>
      </c>
      <c r="F95" s="1031" t="s">
        <v>1889</v>
      </c>
      <c r="G95" s="1032" t="s">
        <v>89</v>
      </c>
      <c r="H95" s="366"/>
      <c r="I95" s="366"/>
      <c r="J95" s="366"/>
      <c r="K95" s="366"/>
      <c r="L95" s="366"/>
      <c r="M95" s="366"/>
      <c r="N95" s="49"/>
    </row>
    <row r="96" spans="1:22" x14ac:dyDescent="0.25">
      <c r="A96" s="366"/>
      <c r="B96" s="821"/>
      <c r="C96" s="821" t="s">
        <v>62</v>
      </c>
      <c r="D96" s="1025" t="s">
        <v>62</v>
      </c>
      <c r="E96" s="1025"/>
      <c r="F96" s="1049" t="str">
        <f>IFERROR(VLOOKUP(D96,$U$69:$V$87,2,FALSE),"")</f>
        <v/>
      </c>
      <c r="G96" s="844" t="str">
        <f>IFERROR(IF(OR(D96="Select",D96=""),"",IF(AND(E96&lt;&gt;"",E96&lt;=F96),"Yes","No")),"")</f>
        <v/>
      </c>
      <c r="H96" s="366"/>
      <c r="I96" s="366"/>
      <c r="J96" s="366"/>
      <c r="K96" s="366"/>
      <c r="L96" s="366"/>
      <c r="M96" s="366"/>
      <c r="N96" s="49"/>
      <c r="O96" s="37" t="s">
        <v>62</v>
      </c>
      <c r="P96" s="37" t="str">
        <f>IFERROR(VLOOKUP(C96,$T$69:$U$87,2,FALSE),"/")</f>
        <v>/</v>
      </c>
      <c r="Q96" s="37" t="str">
        <f>IFERROR(VLOOKUP(CONCATENATE(C96,2),$T$69:$U$87,2,FALSE),"/")</f>
        <v>/</v>
      </c>
      <c r="R96" s="37" t="str">
        <f>IFERROR(VLOOKUP(CONCATENATE(C96,3),$T$69:$U$87,2,FALSE),"/")</f>
        <v>/</v>
      </c>
    </row>
    <row r="97" spans="1:18" x14ac:dyDescent="0.25">
      <c r="A97" s="366"/>
      <c r="B97" s="971"/>
      <c r="C97" s="1025" t="s">
        <v>62</v>
      </c>
      <c r="D97" s="1025" t="s">
        <v>62</v>
      </c>
      <c r="E97" s="1025"/>
      <c r="F97" s="1049" t="str">
        <f t="shared" ref="F97:F115" si="2">IFERROR(VLOOKUP(D97,$U$69:$V$87,2,FALSE),"")</f>
        <v/>
      </c>
      <c r="G97" s="844" t="str">
        <f t="shared" ref="G97:G115" si="3">IFERROR(IF(OR(D97="Select",D97=""),"",IF(AND(E97&lt;&gt;"",E97&lt;=F97),"Yes","No")),"")</f>
        <v/>
      </c>
      <c r="H97" s="366"/>
      <c r="I97" s="366"/>
      <c r="J97" s="366"/>
      <c r="K97" s="366"/>
      <c r="L97" s="366"/>
      <c r="M97" s="366"/>
      <c r="N97" s="49"/>
      <c r="O97" s="37" t="s">
        <v>62</v>
      </c>
      <c r="P97" s="37" t="str">
        <f t="shared" ref="P97:P115" si="4">IFERROR(VLOOKUP(C97,$T$69:$U$87,2,FALSE),"/")</f>
        <v>/</v>
      </c>
      <c r="Q97" s="37" t="str">
        <f t="shared" ref="Q97:Q115" si="5">IFERROR(VLOOKUP(CONCATENATE(C97,2),$T$69:$U$87,2,FALSE),"/")</f>
        <v>/</v>
      </c>
      <c r="R97" s="37" t="str">
        <f t="shared" ref="R97:R115" si="6">IFERROR(VLOOKUP(CONCATENATE(C97,3),$T$69:$U$87,2,FALSE),"/")</f>
        <v>/</v>
      </c>
    </row>
    <row r="98" spans="1:18" x14ac:dyDescent="0.25">
      <c r="A98" s="366"/>
      <c r="B98" s="971"/>
      <c r="C98" s="1025" t="s">
        <v>62</v>
      </c>
      <c r="D98" s="1025" t="s">
        <v>62</v>
      </c>
      <c r="E98" s="1025"/>
      <c r="F98" s="1049" t="str">
        <f t="shared" si="2"/>
        <v/>
      </c>
      <c r="G98" s="844" t="str">
        <f t="shared" si="3"/>
        <v/>
      </c>
      <c r="H98" s="366"/>
      <c r="I98" s="366"/>
      <c r="J98" s="366"/>
      <c r="K98" s="366"/>
      <c r="L98" s="366"/>
      <c r="M98" s="366"/>
      <c r="N98" s="49"/>
      <c r="O98" s="37" t="s">
        <v>62</v>
      </c>
      <c r="P98" s="37" t="str">
        <f t="shared" si="4"/>
        <v>/</v>
      </c>
      <c r="Q98" s="37" t="str">
        <f t="shared" si="5"/>
        <v>/</v>
      </c>
      <c r="R98" s="37" t="str">
        <f t="shared" si="6"/>
        <v>/</v>
      </c>
    </row>
    <row r="99" spans="1:18" x14ac:dyDescent="0.25">
      <c r="A99" s="366"/>
      <c r="B99" s="971"/>
      <c r="C99" s="1025" t="s">
        <v>62</v>
      </c>
      <c r="D99" s="1025" t="s">
        <v>62</v>
      </c>
      <c r="E99" s="1025"/>
      <c r="F99" s="1049" t="str">
        <f t="shared" si="2"/>
        <v/>
      </c>
      <c r="G99" s="844" t="str">
        <f t="shared" si="3"/>
        <v/>
      </c>
      <c r="H99" s="366"/>
      <c r="I99" s="366"/>
      <c r="J99" s="366"/>
      <c r="K99" s="366"/>
      <c r="L99" s="366"/>
      <c r="M99" s="366"/>
      <c r="N99" s="49"/>
      <c r="O99" s="37" t="s">
        <v>62</v>
      </c>
      <c r="P99" s="37" t="str">
        <f t="shared" si="4"/>
        <v>/</v>
      </c>
      <c r="Q99" s="37" t="str">
        <f t="shared" si="5"/>
        <v>/</v>
      </c>
      <c r="R99" s="37" t="str">
        <f t="shared" si="6"/>
        <v>/</v>
      </c>
    </row>
    <row r="100" spans="1:18" x14ac:dyDescent="0.25">
      <c r="A100" s="366"/>
      <c r="B100" s="971"/>
      <c r="C100" s="1025" t="s">
        <v>62</v>
      </c>
      <c r="D100" s="1025" t="s">
        <v>62</v>
      </c>
      <c r="E100" s="1025"/>
      <c r="F100" s="1049" t="str">
        <f t="shared" si="2"/>
        <v/>
      </c>
      <c r="G100" s="844" t="str">
        <f t="shared" si="3"/>
        <v/>
      </c>
      <c r="H100" s="366"/>
      <c r="I100" s="366"/>
      <c r="J100" s="366"/>
      <c r="K100" s="366"/>
      <c r="L100" s="366"/>
      <c r="M100" s="366"/>
      <c r="N100" s="49"/>
      <c r="O100" s="37" t="s">
        <v>62</v>
      </c>
      <c r="P100" s="37" t="str">
        <f t="shared" si="4"/>
        <v>/</v>
      </c>
      <c r="Q100" s="37" t="str">
        <f t="shared" si="5"/>
        <v>/</v>
      </c>
      <c r="R100" s="37" t="str">
        <f t="shared" si="6"/>
        <v>/</v>
      </c>
    </row>
    <row r="101" spans="1:18" x14ac:dyDescent="0.25">
      <c r="A101" s="366"/>
      <c r="B101" s="971"/>
      <c r="C101" s="1025" t="s">
        <v>62</v>
      </c>
      <c r="D101" s="1025" t="s">
        <v>62</v>
      </c>
      <c r="E101" s="1025"/>
      <c r="F101" s="1049" t="str">
        <f t="shared" si="2"/>
        <v/>
      </c>
      <c r="G101" s="844" t="str">
        <f t="shared" si="3"/>
        <v/>
      </c>
      <c r="H101" s="366"/>
      <c r="I101" s="366"/>
      <c r="J101" s="366"/>
      <c r="K101" s="366"/>
      <c r="L101" s="366"/>
      <c r="M101" s="366"/>
      <c r="N101" s="49"/>
      <c r="O101" s="37" t="s">
        <v>62</v>
      </c>
      <c r="P101" s="37" t="str">
        <f t="shared" si="4"/>
        <v>/</v>
      </c>
      <c r="Q101" s="37" t="str">
        <f t="shared" si="5"/>
        <v>/</v>
      </c>
      <c r="R101" s="37" t="str">
        <f t="shared" si="6"/>
        <v>/</v>
      </c>
    </row>
    <row r="102" spans="1:18" x14ac:dyDescent="0.25">
      <c r="A102" s="366"/>
      <c r="B102" s="971"/>
      <c r="C102" s="1025" t="s">
        <v>62</v>
      </c>
      <c r="D102" s="1025" t="s">
        <v>62</v>
      </c>
      <c r="E102" s="1025"/>
      <c r="F102" s="1049" t="str">
        <f t="shared" si="2"/>
        <v/>
      </c>
      <c r="G102" s="844" t="str">
        <f t="shared" si="3"/>
        <v/>
      </c>
      <c r="H102" s="366"/>
      <c r="I102" s="366"/>
      <c r="J102" s="366"/>
      <c r="K102" s="366"/>
      <c r="L102" s="366"/>
      <c r="M102" s="366"/>
      <c r="N102" s="49"/>
      <c r="O102" s="37" t="s">
        <v>62</v>
      </c>
      <c r="P102" s="37" t="str">
        <f t="shared" si="4"/>
        <v>/</v>
      </c>
      <c r="Q102" s="37" t="str">
        <f t="shared" si="5"/>
        <v>/</v>
      </c>
      <c r="R102" s="37" t="str">
        <f t="shared" si="6"/>
        <v>/</v>
      </c>
    </row>
    <row r="103" spans="1:18" x14ac:dyDescent="0.25">
      <c r="A103" s="366"/>
      <c r="B103" s="971"/>
      <c r="C103" s="1025" t="s">
        <v>62</v>
      </c>
      <c r="D103" s="1025" t="s">
        <v>62</v>
      </c>
      <c r="E103" s="1025"/>
      <c r="F103" s="1049" t="str">
        <f t="shared" si="2"/>
        <v/>
      </c>
      <c r="G103" s="844" t="str">
        <f t="shared" si="3"/>
        <v/>
      </c>
      <c r="H103" s="366"/>
      <c r="I103" s="366"/>
      <c r="J103" s="366"/>
      <c r="K103" s="366"/>
      <c r="L103" s="366"/>
      <c r="M103" s="366"/>
      <c r="N103" s="49"/>
      <c r="O103" s="37" t="s">
        <v>62</v>
      </c>
      <c r="P103" s="37" t="str">
        <f t="shared" si="4"/>
        <v>/</v>
      </c>
      <c r="Q103" s="37" t="str">
        <f t="shared" si="5"/>
        <v>/</v>
      </c>
      <c r="R103" s="37" t="str">
        <f t="shared" si="6"/>
        <v>/</v>
      </c>
    </row>
    <row r="104" spans="1:18" x14ac:dyDescent="0.25">
      <c r="A104" s="366"/>
      <c r="B104" s="971"/>
      <c r="C104" s="1025" t="s">
        <v>62</v>
      </c>
      <c r="D104" s="1025" t="s">
        <v>62</v>
      </c>
      <c r="E104" s="1025"/>
      <c r="F104" s="1049" t="str">
        <f t="shared" si="2"/>
        <v/>
      </c>
      <c r="G104" s="844" t="str">
        <f t="shared" si="3"/>
        <v/>
      </c>
      <c r="H104" s="366"/>
      <c r="I104" s="366"/>
      <c r="J104" s="366"/>
      <c r="K104" s="366"/>
      <c r="L104" s="366"/>
      <c r="M104" s="366"/>
      <c r="N104" s="49"/>
      <c r="O104" s="37" t="s">
        <v>62</v>
      </c>
      <c r="P104" s="37" t="str">
        <f t="shared" si="4"/>
        <v>/</v>
      </c>
      <c r="Q104" s="37" t="str">
        <f t="shared" si="5"/>
        <v>/</v>
      </c>
      <c r="R104" s="37" t="str">
        <f t="shared" si="6"/>
        <v>/</v>
      </c>
    </row>
    <row r="105" spans="1:18" x14ac:dyDescent="0.25">
      <c r="A105" s="366"/>
      <c r="B105" s="971"/>
      <c r="C105" s="1025" t="s">
        <v>62</v>
      </c>
      <c r="D105" s="1025" t="s">
        <v>62</v>
      </c>
      <c r="E105" s="1025"/>
      <c r="F105" s="1049" t="str">
        <f t="shared" si="2"/>
        <v/>
      </c>
      <c r="G105" s="844" t="str">
        <f t="shared" si="3"/>
        <v/>
      </c>
      <c r="H105" s="366"/>
      <c r="I105" s="366"/>
      <c r="J105" s="366"/>
      <c r="K105" s="366"/>
      <c r="L105" s="366"/>
      <c r="M105" s="366"/>
      <c r="N105" s="49"/>
      <c r="O105" s="37" t="s">
        <v>62</v>
      </c>
      <c r="P105" s="37" t="str">
        <f t="shared" si="4"/>
        <v>/</v>
      </c>
      <c r="Q105" s="37" t="str">
        <f t="shared" si="5"/>
        <v>/</v>
      </c>
      <c r="R105" s="37" t="str">
        <f t="shared" si="6"/>
        <v>/</v>
      </c>
    </row>
    <row r="106" spans="1:18" x14ac:dyDescent="0.25">
      <c r="A106" s="366"/>
      <c r="B106" s="971"/>
      <c r="C106" s="1025" t="s">
        <v>62</v>
      </c>
      <c r="D106" s="1025" t="s">
        <v>62</v>
      </c>
      <c r="E106" s="1025"/>
      <c r="F106" s="1049" t="str">
        <f t="shared" si="2"/>
        <v/>
      </c>
      <c r="G106" s="844" t="str">
        <f t="shared" si="3"/>
        <v/>
      </c>
      <c r="H106" s="366"/>
      <c r="I106" s="366"/>
      <c r="J106" s="366"/>
      <c r="K106" s="366"/>
      <c r="L106" s="366"/>
      <c r="M106" s="366"/>
      <c r="N106" s="49"/>
      <c r="O106" s="37" t="s">
        <v>62</v>
      </c>
      <c r="P106" s="37" t="str">
        <f t="shared" si="4"/>
        <v>/</v>
      </c>
      <c r="Q106" s="37" t="str">
        <f t="shared" si="5"/>
        <v>/</v>
      </c>
      <c r="R106" s="37" t="str">
        <f t="shared" si="6"/>
        <v>/</v>
      </c>
    </row>
    <row r="107" spans="1:18" x14ac:dyDescent="0.25">
      <c r="A107" s="366"/>
      <c r="B107" s="971"/>
      <c r="C107" s="1025" t="s">
        <v>62</v>
      </c>
      <c r="D107" s="1025" t="s">
        <v>62</v>
      </c>
      <c r="E107" s="1025"/>
      <c r="F107" s="1049" t="str">
        <f t="shared" si="2"/>
        <v/>
      </c>
      <c r="G107" s="844" t="str">
        <f t="shared" si="3"/>
        <v/>
      </c>
      <c r="H107" s="366"/>
      <c r="I107" s="366"/>
      <c r="J107" s="366"/>
      <c r="K107" s="366"/>
      <c r="L107" s="366"/>
      <c r="M107" s="366"/>
      <c r="N107" s="49"/>
      <c r="O107" s="37" t="s">
        <v>62</v>
      </c>
      <c r="P107" s="37" t="str">
        <f t="shared" si="4"/>
        <v>/</v>
      </c>
      <c r="Q107" s="37" t="str">
        <f t="shared" si="5"/>
        <v>/</v>
      </c>
      <c r="R107" s="37" t="str">
        <f t="shared" si="6"/>
        <v>/</v>
      </c>
    </row>
    <row r="108" spans="1:18" x14ac:dyDescent="0.25">
      <c r="A108" s="366"/>
      <c r="B108" s="971"/>
      <c r="C108" s="1025" t="s">
        <v>62</v>
      </c>
      <c r="D108" s="1025" t="s">
        <v>62</v>
      </c>
      <c r="E108" s="1025"/>
      <c r="F108" s="1049" t="str">
        <f t="shared" si="2"/>
        <v/>
      </c>
      <c r="G108" s="844" t="str">
        <f t="shared" si="3"/>
        <v/>
      </c>
      <c r="H108" s="366"/>
      <c r="I108" s="366"/>
      <c r="J108" s="366"/>
      <c r="K108" s="366"/>
      <c r="L108" s="366"/>
      <c r="M108" s="366"/>
      <c r="N108" s="49"/>
      <c r="O108" s="37" t="s">
        <v>62</v>
      </c>
      <c r="P108" s="37" t="str">
        <f t="shared" si="4"/>
        <v>/</v>
      </c>
      <c r="Q108" s="37" t="str">
        <f t="shared" si="5"/>
        <v>/</v>
      </c>
      <c r="R108" s="37" t="str">
        <f t="shared" si="6"/>
        <v>/</v>
      </c>
    </row>
    <row r="109" spans="1:18" x14ac:dyDescent="0.25">
      <c r="A109" s="366"/>
      <c r="B109" s="971"/>
      <c r="C109" s="1025" t="s">
        <v>62</v>
      </c>
      <c r="D109" s="1025" t="s">
        <v>62</v>
      </c>
      <c r="E109" s="1025"/>
      <c r="F109" s="1049" t="str">
        <f t="shared" si="2"/>
        <v/>
      </c>
      <c r="G109" s="844" t="str">
        <f t="shared" si="3"/>
        <v/>
      </c>
      <c r="H109" s="366"/>
      <c r="I109" s="366"/>
      <c r="J109" s="366"/>
      <c r="K109" s="366"/>
      <c r="L109" s="366"/>
      <c r="M109" s="366"/>
      <c r="N109" s="49"/>
      <c r="O109" s="37" t="s">
        <v>62</v>
      </c>
      <c r="P109" s="37" t="str">
        <f t="shared" si="4"/>
        <v>/</v>
      </c>
      <c r="Q109" s="37" t="str">
        <f t="shared" si="5"/>
        <v>/</v>
      </c>
      <c r="R109" s="37" t="str">
        <f t="shared" si="6"/>
        <v>/</v>
      </c>
    </row>
    <row r="110" spans="1:18" x14ac:dyDescent="0.25">
      <c r="A110" s="366"/>
      <c r="B110" s="971"/>
      <c r="C110" s="1025" t="s">
        <v>62</v>
      </c>
      <c r="D110" s="1025" t="s">
        <v>62</v>
      </c>
      <c r="E110" s="1025"/>
      <c r="F110" s="1049" t="str">
        <f t="shared" si="2"/>
        <v/>
      </c>
      <c r="G110" s="844" t="str">
        <f t="shared" si="3"/>
        <v/>
      </c>
      <c r="H110" s="366"/>
      <c r="I110" s="366"/>
      <c r="J110" s="366"/>
      <c r="K110" s="366"/>
      <c r="L110" s="366"/>
      <c r="M110" s="366"/>
      <c r="N110" s="49"/>
      <c r="O110" s="37" t="s">
        <v>62</v>
      </c>
      <c r="P110" s="37" t="str">
        <f t="shared" si="4"/>
        <v>/</v>
      </c>
      <c r="Q110" s="37" t="str">
        <f t="shared" si="5"/>
        <v>/</v>
      </c>
      <c r="R110" s="37" t="str">
        <f t="shared" si="6"/>
        <v>/</v>
      </c>
    </row>
    <row r="111" spans="1:18" x14ac:dyDescent="0.25">
      <c r="A111" s="366"/>
      <c r="B111" s="971"/>
      <c r="C111" s="1025" t="s">
        <v>62</v>
      </c>
      <c r="D111" s="1025" t="s">
        <v>62</v>
      </c>
      <c r="E111" s="1025"/>
      <c r="F111" s="1049" t="str">
        <f t="shared" si="2"/>
        <v/>
      </c>
      <c r="G111" s="844" t="str">
        <f t="shared" si="3"/>
        <v/>
      </c>
      <c r="H111" s="366"/>
      <c r="I111" s="366"/>
      <c r="J111" s="366"/>
      <c r="K111" s="366"/>
      <c r="L111" s="366"/>
      <c r="M111" s="366"/>
      <c r="N111" s="49"/>
      <c r="O111" s="37" t="s">
        <v>62</v>
      </c>
      <c r="P111" s="37" t="str">
        <f t="shared" si="4"/>
        <v>/</v>
      </c>
      <c r="Q111" s="37" t="str">
        <f t="shared" si="5"/>
        <v>/</v>
      </c>
      <c r="R111" s="37" t="str">
        <f t="shared" si="6"/>
        <v>/</v>
      </c>
    </row>
    <row r="112" spans="1:18" x14ac:dyDescent="0.25">
      <c r="A112" s="366"/>
      <c r="B112" s="971"/>
      <c r="C112" s="1025" t="s">
        <v>62</v>
      </c>
      <c r="D112" s="1025" t="s">
        <v>62</v>
      </c>
      <c r="E112" s="1025"/>
      <c r="F112" s="1049" t="str">
        <f t="shared" si="2"/>
        <v/>
      </c>
      <c r="G112" s="844" t="str">
        <f t="shared" si="3"/>
        <v/>
      </c>
      <c r="H112" s="366"/>
      <c r="I112" s="366"/>
      <c r="J112" s="366"/>
      <c r="K112" s="366"/>
      <c r="L112" s="366"/>
      <c r="M112" s="366"/>
      <c r="N112" s="49"/>
      <c r="O112" s="37" t="s">
        <v>62</v>
      </c>
      <c r="P112" s="37" t="str">
        <f t="shared" si="4"/>
        <v>/</v>
      </c>
      <c r="Q112" s="37" t="str">
        <f t="shared" si="5"/>
        <v>/</v>
      </c>
      <c r="R112" s="37" t="str">
        <f t="shared" si="6"/>
        <v>/</v>
      </c>
    </row>
    <row r="113" spans="1:18" x14ac:dyDescent="0.25">
      <c r="A113" s="366"/>
      <c r="B113" s="971"/>
      <c r="C113" s="1025" t="s">
        <v>62</v>
      </c>
      <c r="D113" s="1025" t="s">
        <v>62</v>
      </c>
      <c r="E113" s="1025"/>
      <c r="F113" s="1049" t="str">
        <f t="shared" si="2"/>
        <v/>
      </c>
      <c r="G113" s="844" t="str">
        <f t="shared" si="3"/>
        <v/>
      </c>
      <c r="H113" s="365"/>
      <c r="I113" s="365"/>
      <c r="J113" s="365"/>
      <c r="K113" s="365"/>
      <c r="L113" s="365"/>
      <c r="M113" s="365"/>
      <c r="N113" s="48"/>
      <c r="O113" s="37" t="s">
        <v>62</v>
      </c>
      <c r="P113" s="37" t="str">
        <f t="shared" si="4"/>
        <v>/</v>
      </c>
      <c r="Q113" s="37" t="str">
        <f t="shared" si="5"/>
        <v>/</v>
      </c>
      <c r="R113" s="37" t="str">
        <f t="shared" si="6"/>
        <v>/</v>
      </c>
    </row>
    <row r="114" spans="1:18" x14ac:dyDescent="0.25">
      <c r="A114" s="365"/>
      <c r="B114" s="971"/>
      <c r="C114" s="1025" t="s">
        <v>62</v>
      </c>
      <c r="D114" s="1025" t="s">
        <v>62</v>
      </c>
      <c r="E114" s="1025"/>
      <c r="F114" s="1049" t="str">
        <f t="shared" si="2"/>
        <v/>
      </c>
      <c r="G114" s="844" t="str">
        <f t="shared" si="3"/>
        <v/>
      </c>
      <c r="H114" s="365"/>
      <c r="I114" s="365"/>
      <c r="J114" s="365"/>
      <c r="K114" s="365"/>
      <c r="L114" s="365"/>
      <c r="M114" s="365"/>
      <c r="O114" s="37" t="s">
        <v>62</v>
      </c>
      <c r="P114" s="37" t="str">
        <f t="shared" si="4"/>
        <v>/</v>
      </c>
      <c r="Q114" s="37" t="str">
        <f t="shared" si="5"/>
        <v>/</v>
      </c>
      <c r="R114" s="37" t="str">
        <f t="shared" si="6"/>
        <v>/</v>
      </c>
    </row>
    <row r="115" spans="1:18" x14ac:dyDescent="0.25">
      <c r="A115" s="365"/>
      <c r="B115" s="821"/>
      <c r="C115" s="1025" t="s">
        <v>62</v>
      </c>
      <c r="D115" s="1025" t="s">
        <v>62</v>
      </c>
      <c r="E115" s="1025"/>
      <c r="F115" s="1049" t="str">
        <f t="shared" si="2"/>
        <v/>
      </c>
      <c r="G115" s="844" t="str">
        <f t="shared" si="3"/>
        <v/>
      </c>
      <c r="H115" s="840"/>
      <c r="I115" s="840"/>
      <c r="J115" s="840"/>
      <c r="K115" s="365"/>
      <c r="L115" s="365"/>
      <c r="M115" s="365"/>
      <c r="O115" s="37" t="s">
        <v>62</v>
      </c>
      <c r="P115" s="37" t="str">
        <f t="shared" si="4"/>
        <v>/</v>
      </c>
      <c r="Q115" s="37" t="str">
        <f t="shared" si="5"/>
        <v>/</v>
      </c>
      <c r="R115" s="37" t="str">
        <f t="shared" si="6"/>
        <v>/</v>
      </c>
    </row>
    <row r="116" spans="1:18" x14ac:dyDescent="0.25">
      <c r="A116" s="365"/>
      <c r="B116" s="839"/>
      <c r="C116" s="839"/>
      <c r="D116" s="839"/>
      <c r="E116" s="839"/>
      <c r="F116" s="839"/>
      <c r="G116" s="839"/>
      <c r="H116" s="839"/>
      <c r="I116" s="839"/>
      <c r="J116" s="839"/>
      <c r="K116" s="365"/>
      <c r="L116" s="365"/>
      <c r="M116" s="365"/>
    </row>
    <row r="117" spans="1:18" ht="19.5" customHeight="1" x14ac:dyDescent="0.25">
      <c r="A117" s="365"/>
      <c r="B117" s="2102" t="s">
        <v>1373</v>
      </c>
      <c r="C117" s="2102"/>
      <c r="D117" s="70" t="str">
        <f>IF(AND(COUNTIF(G96:G115,"No")=0,COUNTIF(G96:G115,"Yes")&gt;=1),"Yes","No")</f>
        <v>No</v>
      </c>
      <c r="E117" s="839"/>
      <c r="F117" s="839"/>
      <c r="G117" s="839"/>
      <c r="H117" s="839"/>
      <c r="I117" s="839"/>
      <c r="J117" s="839"/>
      <c r="K117" s="365"/>
      <c r="L117" s="365"/>
      <c r="M117" s="365"/>
    </row>
    <row r="118" spans="1:18" ht="19.5" customHeight="1" x14ac:dyDescent="0.25">
      <c r="A118" s="365"/>
      <c r="B118" s="839"/>
      <c r="C118" s="839"/>
      <c r="D118" s="839"/>
      <c r="E118" s="839"/>
      <c r="F118" s="839"/>
      <c r="G118" s="839"/>
      <c r="H118" s="839"/>
      <c r="I118" s="839"/>
      <c r="J118" s="839"/>
      <c r="K118" s="365"/>
      <c r="L118" s="365"/>
      <c r="M118" s="365"/>
    </row>
    <row r="119" spans="1:18" ht="17.25" customHeight="1" x14ac:dyDescent="0.25">
      <c r="A119" s="823" t="s">
        <v>97</v>
      </c>
      <c r="B119" s="45"/>
      <c r="C119" s="45"/>
      <c r="D119" s="366"/>
      <c r="E119" s="366"/>
      <c r="F119" s="366"/>
      <c r="G119" s="366"/>
      <c r="H119" s="366"/>
      <c r="I119" s="366"/>
      <c r="J119" s="366"/>
      <c r="K119" s="366"/>
      <c r="L119" s="366"/>
      <c r="M119" s="366"/>
      <c r="N119" s="49"/>
    </row>
    <row r="120" spans="1:18" x14ac:dyDescent="0.25">
      <c r="A120" s="366"/>
      <c r="B120" s="366"/>
      <c r="C120" s="366"/>
      <c r="D120" s="366"/>
      <c r="E120" s="366"/>
      <c r="F120" s="366"/>
      <c r="G120" s="366"/>
      <c r="H120" s="366"/>
      <c r="I120" s="366"/>
      <c r="J120" s="366"/>
      <c r="K120" s="366"/>
      <c r="L120" s="366"/>
      <c r="M120" s="366"/>
      <c r="N120" s="49"/>
    </row>
    <row r="121" spans="1:18" ht="21" customHeight="1" x14ac:dyDescent="0.25">
      <c r="A121" s="366"/>
      <c r="B121" s="2093" t="s">
        <v>98</v>
      </c>
      <c r="C121" s="2094"/>
      <c r="D121" s="2094"/>
      <c r="E121" s="2094"/>
      <c r="F121" s="2094"/>
      <c r="G121" s="826" t="s">
        <v>1297</v>
      </c>
      <c r="H121" s="2095" t="s">
        <v>1298</v>
      </c>
      <c r="I121" s="2095"/>
      <c r="J121" s="366"/>
      <c r="K121" s="366"/>
      <c r="L121" s="366"/>
      <c r="M121" s="366"/>
      <c r="N121" s="49"/>
    </row>
    <row r="122" spans="1:18" ht="27" customHeight="1" x14ac:dyDescent="0.25">
      <c r="A122" s="366"/>
      <c r="B122" s="1644" t="str">
        <f>Submittals!H142</f>
        <v>Select the Submission Stage in Project Information</v>
      </c>
      <c r="C122" s="1645"/>
      <c r="D122" s="1645"/>
      <c r="E122" s="1645"/>
      <c r="F122" s="1645"/>
      <c r="G122" s="828" t="s">
        <v>62</v>
      </c>
      <c r="H122" s="1625"/>
      <c r="I122" s="1626"/>
      <c r="J122" s="366"/>
      <c r="K122" s="366"/>
      <c r="L122" s="366"/>
      <c r="M122" s="366"/>
      <c r="N122" s="37" t="str">
        <f>IF(OR(B122="/",B122="No evidence required at this submission stage"),"Yes",IF(G122="Submitted","Yes","No"))</f>
        <v>No</v>
      </c>
    </row>
    <row r="123" spans="1:18" ht="40.5" customHeight="1" x14ac:dyDescent="0.25">
      <c r="A123" s="366"/>
      <c r="B123" s="1644" t="str">
        <f>Submittals!H143</f>
        <v>Select the Submission Stage in Project Information</v>
      </c>
      <c r="C123" s="1645"/>
      <c r="D123" s="1645"/>
      <c r="E123" s="1645"/>
      <c r="F123" s="1645"/>
      <c r="G123" s="828" t="s">
        <v>62</v>
      </c>
      <c r="H123" s="1625"/>
      <c r="I123" s="1626"/>
      <c r="J123" s="366"/>
      <c r="K123" s="366"/>
      <c r="L123" s="366"/>
      <c r="M123" s="366"/>
      <c r="N123" s="37" t="str">
        <f>IF(OR(B123="/",B123="No evidence required at this submission stage"),"Yes",IF(G123="Submitted","Yes","No"))</f>
        <v>No</v>
      </c>
    </row>
    <row r="124" spans="1:18" customFormat="1" ht="19.5" customHeight="1" x14ac:dyDescent="0.25">
      <c r="A124" s="366"/>
      <c r="B124" s="366"/>
      <c r="C124" s="366"/>
      <c r="D124" s="366"/>
      <c r="E124" s="366"/>
      <c r="F124" s="366"/>
      <c r="G124" s="366"/>
      <c r="H124" s="366"/>
      <c r="I124" s="366"/>
      <c r="J124" s="366"/>
      <c r="K124" s="366"/>
      <c r="L124" s="366"/>
      <c r="M124" s="366"/>
      <c r="N124" s="49"/>
      <c r="O124" s="37"/>
      <c r="P124" s="37"/>
    </row>
    <row r="125" spans="1:18" ht="17.25" customHeight="1" x14ac:dyDescent="0.25">
      <c r="A125" s="823" t="s">
        <v>8</v>
      </c>
      <c r="B125" s="45"/>
      <c r="C125" s="45"/>
      <c r="D125" s="366"/>
      <c r="E125" s="366"/>
      <c r="F125" s="366"/>
      <c r="G125" s="366"/>
      <c r="H125" s="366"/>
      <c r="I125" s="366"/>
      <c r="J125" s="366"/>
      <c r="K125" s="366"/>
      <c r="L125" s="366"/>
      <c r="M125" s="366"/>
      <c r="N125" s="49"/>
    </row>
    <row r="126" spans="1:18" x14ac:dyDescent="0.25">
      <c r="A126" s="366"/>
      <c r="B126" s="366"/>
      <c r="C126" s="366"/>
      <c r="D126" s="366"/>
      <c r="E126" s="366"/>
      <c r="F126" s="366"/>
      <c r="G126" s="366"/>
      <c r="H126" s="366"/>
      <c r="I126" s="366"/>
      <c r="J126" s="366"/>
      <c r="K126" s="366"/>
      <c r="L126" s="366"/>
      <c r="M126" s="366"/>
      <c r="N126" s="49"/>
    </row>
    <row r="127" spans="1:18" ht="18" customHeight="1" x14ac:dyDescent="0.25">
      <c r="A127" s="366"/>
      <c r="B127" s="145" t="s">
        <v>19</v>
      </c>
      <c r="C127" s="116">
        <f>IF($D$11&lt;&gt;"Option B: Reverberation Time",0,IF(D117="Yes",1,0))</f>
        <v>0</v>
      </c>
      <c r="D127" s="366"/>
      <c r="E127" s="366"/>
      <c r="F127" s="366"/>
      <c r="G127" s="366"/>
      <c r="H127" s="366"/>
      <c r="I127" s="366"/>
      <c r="J127" s="366"/>
      <c r="K127" s="366"/>
      <c r="L127" s="366"/>
      <c r="M127" s="366"/>
      <c r="N127" s="49"/>
    </row>
    <row r="128" spans="1:18" ht="18" customHeight="1" x14ac:dyDescent="0.25">
      <c r="A128" s="366"/>
      <c r="B128" s="146" t="s">
        <v>151</v>
      </c>
      <c r="C128" s="7" t="str">
        <f>IF(AND(COUNTIF(N122:N123,"Yes")=2,C127&gt;0),"Yes","No")</f>
        <v>No</v>
      </c>
      <c r="D128" s="366"/>
      <c r="E128" s="366"/>
      <c r="F128" s="366"/>
      <c r="G128" s="366"/>
      <c r="H128" s="366"/>
      <c r="I128" s="366"/>
      <c r="J128" s="366"/>
      <c r="K128" s="366"/>
      <c r="L128" s="366"/>
      <c r="M128" s="366"/>
      <c r="N128" s="49"/>
    </row>
    <row r="129" spans="1:13" ht="16.5" customHeight="1" x14ac:dyDescent="0.25">
      <c r="A129" s="365"/>
      <c r="B129" s="365"/>
      <c r="C129" s="365"/>
      <c r="D129" s="365"/>
      <c r="E129" s="365"/>
      <c r="F129" s="365"/>
      <c r="G129" s="365"/>
      <c r="H129" s="365"/>
      <c r="I129" s="365"/>
      <c r="J129" s="365"/>
      <c r="K129" s="365"/>
      <c r="L129" s="365"/>
      <c r="M129" s="365"/>
    </row>
    <row r="130" spans="1:13" customFormat="1" ht="16.5" hidden="1" customHeight="1" x14ac:dyDescent="0.25"/>
    <row r="131" spans="1:13" customFormat="1" ht="16.5" hidden="1" customHeight="1" x14ac:dyDescent="0.25"/>
    <row r="132" spans="1:13" customFormat="1" ht="16.5" hidden="1" customHeight="1" x14ac:dyDescent="0.25"/>
    <row r="133" spans="1:13" customFormat="1" ht="16.5" hidden="1" customHeight="1" x14ac:dyDescent="0.25"/>
    <row r="134" spans="1:13" customFormat="1" ht="16.5" hidden="1" customHeight="1" x14ac:dyDescent="0.25"/>
    <row r="135" spans="1:13" customFormat="1" ht="16.5" hidden="1" customHeight="1" x14ac:dyDescent="0.25"/>
    <row r="136" spans="1:13" customFormat="1" ht="16.5" hidden="1" customHeight="1" x14ac:dyDescent="0.25"/>
    <row r="137" spans="1:13" customFormat="1" ht="16.5" hidden="1" customHeight="1" x14ac:dyDescent="0.25"/>
    <row r="138" spans="1:13" customFormat="1" ht="16.5" hidden="1" customHeight="1" x14ac:dyDescent="0.25"/>
    <row r="139" spans="1:13" customFormat="1" ht="16.5" hidden="1" customHeight="1" x14ac:dyDescent="0.25"/>
    <row r="140" spans="1:13" customFormat="1" ht="16.5" hidden="1" customHeight="1" x14ac:dyDescent="0.25"/>
    <row r="141" spans="1:13" customFormat="1" ht="16.5" hidden="1" customHeight="1" x14ac:dyDescent="0.25"/>
    <row r="142" spans="1:13" customFormat="1" ht="16.5" hidden="1" customHeight="1" x14ac:dyDescent="0.25"/>
    <row r="143" spans="1:13" customFormat="1" ht="16.5" hidden="1" customHeight="1" x14ac:dyDescent="0.25"/>
    <row r="144" spans="1:13" customFormat="1" ht="16.5" hidden="1" customHeight="1" x14ac:dyDescent="0.25"/>
    <row r="145" customFormat="1" ht="16.5" hidden="1" customHeight="1" x14ac:dyDescent="0.25"/>
    <row r="146" customFormat="1" ht="16.5" hidden="1" customHeight="1" x14ac:dyDescent="0.25"/>
    <row r="147" customFormat="1" ht="16.5" hidden="1" customHeight="1" x14ac:dyDescent="0.25"/>
    <row r="148" customFormat="1" ht="16.5" hidden="1" customHeight="1" x14ac:dyDescent="0.25"/>
    <row r="149" customFormat="1" ht="16.5" hidden="1" customHeight="1" x14ac:dyDescent="0.25"/>
    <row r="150" customFormat="1" ht="16.5" hidden="1" customHeight="1" x14ac:dyDescent="0.25"/>
    <row r="151" customFormat="1" ht="16.5" hidden="1" customHeight="1" x14ac:dyDescent="0.25"/>
    <row r="152" customFormat="1" ht="16.5" hidden="1" customHeight="1" x14ac:dyDescent="0.25"/>
    <row r="153" customFormat="1" ht="16.5" hidden="1" customHeight="1" x14ac:dyDescent="0.25"/>
    <row r="154" customFormat="1" ht="16.5" hidden="1" customHeight="1" x14ac:dyDescent="0.25"/>
    <row r="155" customFormat="1" ht="16.5" hidden="1" customHeight="1" x14ac:dyDescent="0.25"/>
    <row r="156" customFormat="1" ht="16.5" hidden="1" customHeight="1" x14ac:dyDescent="0.25"/>
    <row r="157" customFormat="1" ht="16.5" hidden="1" customHeight="1" x14ac:dyDescent="0.25"/>
    <row r="158" customFormat="1" ht="16.5" hidden="1" customHeight="1" x14ac:dyDescent="0.25"/>
    <row r="159" customFormat="1" ht="16.5" hidden="1" customHeight="1" x14ac:dyDescent="0.25"/>
    <row r="160" customFormat="1" ht="16.5" hidden="1" customHeight="1" x14ac:dyDescent="0.25"/>
    <row r="161" customFormat="1" ht="16.5" hidden="1" customHeight="1" x14ac:dyDescent="0.25"/>
    <row r="162" customFormat="1" ht="16.5" hidden="1" customHeight="1" x14ac:dyDescent="0.25"/>
    <row r="163" customFormat="1" ht="16.5" hidden="1" customHeight="1" x14ac:dyDescent="0.25"/>
    <row r="164" customFormat="1" ht="16.5" hidden="1" customHeight="1" x14ac:dyDescent="0.25"/>
    <row r="165" customFormat="1" ht="16.5" hidden="1" customHeight="1" x14ac:dyDescent="0.25"/>
    <row r="166" customFormat="1" ht="16.5" hidden="1" customHeight="1" x14ac:dyDescent="0.25"/>
    <row r="167" customFormat="1" ht="16.5" hidden="1" customHeight="1" x14ac:dyDescent="0.25"/>
    <row r="168" customFormat="1" ht="16.5" hidden="1" customHeight="1" x14ac:dyDescent="0.25"/>
    <row r="169" customFormat="1" ht="16.5" hidden="1" customHeight="1" x14ac:dyDescent="0.25"/>
    <row r="170" customFormat="1" ht="16.5" hidden="1" customHeight="1" x14ac:dyDescent="0.25"/>
    <row r="171" customFormat="1" ht="16.5" hidden="1" customHeight="1" x14ac:dyDescent="0.25"/>
    <row r="172" customFormat="1" ht="16.5" hidden="1" customHeight="1" x14ac:dyDescent="0.25"/>
    <row r="173" customFormat="1" ht="16.5" hidden="1" customHeight="1" x14ac:dyDescent="0.25"/>
    <row r="174" customFormat="1" ht="16.5" hidden="1" customHeight="1" x14ac:dyDescent="0.25"/>
    <row r="175" customFormat="1" ht="16.5" hidden="1" customHeight="1" x14ac:dyDescent="0.25"/>
    <row r="176" customFormat="1" ht="16.5" hidden="1" customHeight="1" x14ac:dyDescent="0.25"/>
    <row r="177" customFormat="1" ht="16.5" hidden="1" customHeight="1" x14ac:dyDescent="0.25"/>
    <row r="178" customFormat="1" ht="16.5" hidden="1" customHeight="1" x14ac:dyDescent="0.25"/>
    <row r="179" customFormat="1" ht="16.5" hidden="1" customHeight="1" x14ac:dyDescent="0.25"/>
    <row r="180" customFormat="1" ht="16.5" hidden="1" customHeight="1" x14ac:dyDescent="0.25"/>
    <row r="181" customFormat="1" ht="16.5" hidden="1" customHeight="1" x14ac:dyDescent="0.25"/>
    <row r="182" customFormat="1" ht="16.5" hidden="1" customHeight="1" x14ac:dyDescent="0.25"/>
    <row r="183" customFormat="1" ht="16.5" hidden="1" customHeight="1" x14ac:dyDescent="0.25"/>
    <row r="184" customFormat="1" ht="16.5" hidden="1" customHeight="1" x14ac:dyDescent="0.25"/>
    <row r="185" customFormat="1" ht="16.5" hidden="1" customHeight="1" x14ac:dyDescent="0.25"/>
    <row r="186" customFormat="1" ht="16.5" hidden="1" customHeight="1" x14ac:dyDescent="0.25"/>
    <row r="187" customFormat="1" ht="16.5" hidden="1" customHeight="1" x14ac:dyDescent="0.25"/>
    <row r="188" customFormat="1" ht="16.5" hidden="1" customHeight="1" x14ac:dyDescent="0.25"/>
    <row r="189" customFormat="1" ht="16.5" hidden="1" customHeight="1" x14ac:dyDescent="0.25"/>
    <row r="190" customFormat="1" ht="16.5" hidden="1" customHeight="1" x14ac:dyDescent="0.25"/>
    <row r="191" customFormat="1" ht="16.5" hidden="1" customHeight="1" x14ac:dyDescent="0.25"/>
    <row r="192" customFormat="1" ht="16.5" hidden="1" customHeight="1" x14ac:dyDescent="0.25"/>
    <row r="193" customFormat="1" ht="16.5" hidden="1" customHeight="1" x14ac:dyDescent="0.25"/>
    <row r="194" customFormat="1" ht="16.5" hidden="1" customHeight="1" x14ac:dyDescent="0.25"/>
    <row r="195" customFormat="1" ht="16.5" hidden="1" customHeight="1" x14ac:dyDescent="0.25"/>
    <row r="196" customFormat="1" ht="16.5" hidden="1" customHeight="1" x14ac:dyDescent="0.25"/>
    <row r="197" customFormat="1" ht="16.5" hidden="1" customHeight="1" x14ac:dyDescent="0.25"/>
    <row r="198" customFormat="1" ht="16.5" hidden="1" customHeight="1" x14ac:dyDescent="0.25"/>
    <row r="199" customFormat="1" ht="16.5" hidden="1" customHeight="1" x14ac:dyDescent="0.25"/>
    <row r="200" customFormat="1" ht="16.5" hidden="1" customHeight="1" x14ac:dyDescent="0.25"/>
    <row r="201" customFormat="1" ht="16.5" hidden="1" customHeight="1" x14ac:dyDescent="0.25"/>
    <row r="202" customFormat="1" ht="16.5" hidden="1" customHeight="1" x14ac:dyDescent="0.25"/>
    <row r="203" customFormat="1" ht="16.5" hidden="1" customHeight="1" x14ac:dyDescent="0.25"/>
    <row r="204" customFormat="1" ht="16.5" hidden="1" customHeight="1" x14ac:dyDescent="0.25"/>
    <row r="205" customFormat="1" ht="16.5" hidden="1" customHeight="1" x14ac:dyDescent="0.25"/>
    <row r="206" customFormat="1" ht="16.5" hidden="1" customHeight="1" x14ac:dyDescent="0.25"/>
    <row r="207" customFormat="1" ht="16.5" hidden="1" customHeight="1" x14ac:dyDescent="0.25"/>
    <row r="208" customFormat="1" ht="16.5" hidden="1" customHeight="1" x14ac:dyDescent="0.25"/>
    <row r="209" customFormat="1" ht="16.5" hidden="1" customHeight="1" x14ac:dyDescent="0.25"/>
    <row r="210" customFormat="1" ht="16.5" hidden="1" customHeight="1" x14ac:dyDescent="0.25"/>
    <row r="211" customFormat="1" ht="16.5" hidden="1" customHeight="1" x14ac:dyDescent="0.25"/>
    <row r="212" customFormat="1" ht="16.5" hidden="1" customHeight="1" x14ac:dyDescent="0.25"/>
    <row r="213" customFormat="1" ht="16.5" hidden="1" customHeight="1" x14ac:dyDescent="0.25"/>
    <row r="214" customFormat="1" ht="16.5" hidden="1" customHeight="1" x14ac:dyDescent="0.25"/>
    <row r="215" customFormat="1" ht="16.5" hidden="1" customHeight="1" x14ac:dyDescent="0.25"/>
    <row r="216" customFormat="1" ht="16.5" hidden="1" customHeight="1" x14ac:dyDescent="0.25"/>
    <row r="217" customFormat="1" ht="16.5" hidden="1" customHeight="1" x14ac:dyDescent="0.25"/>
    <row r="218" customFormat="1" ht="16.5" hidden="1" customHeight="1" x14ac:dyDescent="0.25"/>
    <row r="219" customFormat="1" ht="16.5" hidden="1" customHeight="1" x14ac:dyDescent="0.25"/>
    <row r="220" customFormat="1" ht="16.5" hidden="1" customHeight="1" x14ac:dyDescent="0.25"/>
    <row r="221" customFormat="1" ht="16.5" hidden="1" customHeight="1" x14ac:dyDescent="0.25"/>
    <row r="222" customFormat="1" ht="16.5" hidden="1" customHeight="1" x14ac:dyDescent="0.25"/>
    <row r="223" customFormat="1" ht="16.5" hidden="1" customHeight="1" x14ac:dyDescent="0.25"/>
    <row r="224" customFormat="1" ht="16.5" hidden="1" customHeight="1" x14ac:dyDescent="0.25"/>
    <row r="225" customFormat="1" ht="16.5" hidden="1" customHeight="1" x14ac:dyDescent="0.25"/>
    <row r="226" customFormat="1" ht="16.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row r="310" customFormat="1" ht="15" hidden="1" customHeight="1" x14ac:dyDescent="0.25"/>
    <row r="311" customFormat="1" ht="15" hidden="1" customHeight="1" x14ac:dyDescent="0.25"/>
    <row r="312" customFormat="1" ht="15" hidden="1" customHeight="1" x14ac:dyDescent="0.25"/>
    <row r="313" customFormat="1" ht="15" hidden="1" customHeight="1" x14ac:dyDescent="0.25"/>
    <row r="314" customFormat="1" ht="15" hidden="1" customHeight="1" x14ac:dyDescent="0.25"/>
    <row r="315" customFormat="1" ht="15" hidden="1" customHeight="1" x14ac:dyDescent="0.25"/>
    <row r="316" customFormat="1" ht="15" hidden="1" customHeight="1" x14ac:dyDescent="0.25"/>
    <row r="317" customFormat="1" ht="15" hidden="1" customHeight="1" x14ac:dyDescent="0.25"/>
    <row r="318" customFormat="1" ht="15" hidden="1" customHeight="1" x14ac:dyDescent="0.25"/>
    <row r="319" customFormat="1" ht="15" hidden="1" customHeight="1" x14ac:dyDescent="0.25"/>
    <row r="320" customFormat="1" ht="15" hidden="1" customHeight="1" x14ac:dyDescent="0.25"/>
    <row r="321" customFormat="1" ht="15" hidden="1" customHeight="1" x14ac:dyDescent="0.25"/>
    <row r="322" customFormat="1" ht="15" hidden="1" customHeight="1" x14ac:dyDescent="0.25"/>
    <row r="323" customFormat="1" ht="15" hidden="1" customHeight="1" x14ac:dyDescent="0.25"/>
    <row r="324" customFormat="1" ht="15" hidden="1" customHeight="1" x14ac:dyDescent="0.25"/>
    <row r="325" customFormat="1" ht="15" hidden="1" customHeight="1" x14ac:dyDescent="0.25"/>
    <row r="326" customFormat="1" ht="15" hidden="1" customHeight="1" x14ac:dyDescent="0.25"/>
    <row r="327" customFormat="1" ht="15" hidden="1" customHeight="1" x14ac:dyDescent="0.25"/>
    <row r="328" customFormat="1" ht="15" hidden="1" customHeight="1" x14ac:dyDescent="0.25"/>
    <row r="329" customFormat="1" ht="15" hidden="1" customHeight="1" x14ac:dyDescent="0.25"/>
    <row r="330" customFormat="1" ht="15" hidden="1" customHeight="1" x14ac:dyDescent="0.25"/>
    <row r="331" customFormat="1" ht="15" hidden="1" customHeight="1" x14ac:dyDescent="0.25"/>
    <row r="332" customFormat="1" ht="15" hidden="1" customHeight="1" x14ac:dyDescent="0.25"/>
    <row r="333" customFormat="1" ht="15" hidden="1" customHeight="1" x14ac:dyDescent="0.25"/>
    <row r="334" customFormat="1" ht="15" hidden="1" customHeight="1" x14ac:dyDescent="0.25"/>
    <row r="335" customFormat="1" ht="15" hidden="1" customHeight="1" x14ac:dyDescent="0.25"/>
    <row r="336" customFormat="1" ht="15" hidden="1" customHeight="1" x14ac:dyDescent="0.25"/>
    <row r="337" customFormat="1" ht="15" hidden="1" customHeight="1" x14ac:dyDescent="0.25"/>
    <row r="338" customFormat="1" ht="15" hidden="1" customHeight="1" x14ac:dyDescent="0.25"/>
    <row r="339" customFormat="1" ht="15" hidden="1" customHeight="1" x14ac:dyDescent="0.25"/>
    <row r="340" customFormat="1" ht="15" hidden="1" customHeight="1" x14ac:dyDescent="0.25"/>
    <row r="341" customFormat="1" ht="15" hidden="1" customHeight="1" x14ac:dyDescent="0.25"/>
    <row r="342" customFormat="1" ht="15" hidden="1" customHeight="1" x14ac:dyDescent="0.25"/>
    <row r="343" customFormat="1" ht="15" hidden="1" customHeight="1" x14ac:dyDescent="0.25"/>
    <row r="344" customFormat="1" ht="15" hidden="1" customHeight="1" x14ac:dyDescent="0.25"/>
    <row r="345" customFormat="1" ht="15" hidden="1" customHeight="1" x14ac:dyDescent="0.25"/>
    <row r="346" customFormat="1" ht="15" hidden="1" customHeight="1" x14ac:dyDescent="0.25"/>
    <row r="347" customFormat="1" ht="15" hidden="1" customHeight="1" x14ac:dyDescent="0.25"/>
    <row r="348" customFormat="1" ht="15" hidden="1" customHeight="1" x14ac:dyDescent="0.25"/>
    <row r="349" customFormat="1" ht="15" hidden="1" customHeight="1" x14ac:dyDescent="0.25"/>
    <row r="350" customFormat="1" ht="15" hidden="1" customHeight="1" x14ac:dyDescent="0.25"/>
    <row r="351" customFormat="1" ht="15" hidden="1" customHeight="1" x14ac:dyDescent="0.25"/>
    <row r="352" customFormat="1" ht="15" hidden="1" customHeight="1" x14ac:dyDescent="0.25"/>
    <row r="353" customFormat="1" ht="15" hidden="1" customHeight="1" x14ac:dyDescent="0.25"/>
    <row r="354" customFormat="1" ht="15" hidden="1" customHeight="1" x14ac:dyDescent="0.25"/>
    <row r="355" customFormat="1" ht="15" hidden="1" customHeight="1" x14ac:dyDescent="0.25"/>
    <row r="356" customFormat="1" ht="15" hidden="1" customHeight="1" x14ac:dyDescent="0.25"/>
    <row r="357" customFormat="1" ht="15" hidden="1" customHeight="1" x14ac:dyDescent="0.25"/>
    <row r="358" customFormat="1" ht="15" hidden="1" customHeight="1" x14ac:dyDescent="0.25"/>
    <row r="359" customFormat="1" ht="15" hidden="1" customHeight="1" x14ac:dyDescent="0.25"/>
    <row r="360" customFormat="1" ht="15" hidden="1" customHeight="1" x14ac:dyDescent="0.25"/>
    <row r="361" customFormat="1" ht="15" hidden="1" customHeight="1" x14ac:dyDescent="0.25"/>
    <row r="362" customFormat="1" ht="15" hidden="1" customHeight="1" x14ac:dyDescent="0.25"/>
    <row r="363" customFormat="1" ht="15" hidden="1" customHeight="1" x14ac:dyDescent="0.25"/>
    <row r="364" customFormat="1" ht="15" hidden="1" customHeight="1" x14ac:dyDescent="0.25"/>
    <row r="365" customFormat="1" ht="15" hidden="1" customHeight="1" x14ac:dyDescent="0.25"/>
    <row r="366" customFormat="1" ht="15" hidden="1" customHeight="1" x14ac:dyDescent="0.25"/>
    <row r="367" customFormat="1" ht="15" hidden="1" customHeight="1" x14ac:dyDescent="0.25"/>
    <row r="368" customFormat="1" ht="15" hidden="1" customHeight="1" x14ac:dyDescent="0.25"/>
    <row r="369" customFormat="1" ht="15" hidden="1" customHeight="1" x14ac:dyDescent="0.25"/>
    <row r="370" customFormat="1" ht="15" hidden="1" customHeight="1" x14ac:dyDescent="0.25"/>
    <row r="371" customFormat="1" ht="15" hidden="1" customHeight="1" x14ac:dyDescent="0.25"/>
    <row r="372" customFormat="1" ht="15" hidden="1" customHeight="1" x14ac:dyDescent="0.25"/>
    <row r="373" customFormat="1" ht="15" hidden="1" customHeight="1" x14ac:dyDescent="0.25"/>
    <row r="374" customFormat="1" ht="15" hidden="1" customHeight="1" x14ac:dyDescent="0.25"/>
    <row r="375" customFormat="1" ht="15" hidden="1" customHeight="1" x14ac:dyDescent="0.25"/>
    <row r="376" customFormat="1" ht="15" hidden="1" customHeight="1" x14ac:dyDescent="0.25"/>
    <row r="377" customFormat="1" ht="15" hidden="1" customHeight="1" x14ac:dyDescent="0.25"/>
    <row r="378" customFormat="1" ht="15" hidden="1" customHeight="1" x14ac:dyDescent="0.25"/>
    <row r="379" customFormat="1" ht="15" hidden="1" customHeight="1" x14ac:dyDescent="0.25"/>
    <row r="380" customFormat="1" ht="15" hidden="1" customHeight="1" x14ac:dyDescent="0.25"/>
    <row r="381" customFormat="1" ht="15" hidden="1" customHeight="1" x14ac:dyDescent="0.25"/>
    <row r="382" customFormat="1" ht="15" hidden="1" customHeight="1" x14ac:dyDescent="0.25"/>
    <row r="383" customFormat="1" ht="15" hidden="1" customHeight="1" x14ac:dyDescent="0.25"/>
    <row r="384" customFormat="1" ht="15" hidden="1" customHeight="1" x14ac:dyDescent="0.25"/>
    <row r="385" customFormat="1" ht="15" hidden="1" customHeight="1" x14ac:dyDescent="0.25"/>
    <row r="386" customFormat="1" ht="15" hidden="1" customHeight="1" x14ac:dyDescent="0.25"/>
    <row r="387" customFormat="1" ht="15" hidden="1" customHeight="1" x14ac:dyDescent="0.25"/>
    <row r="388" customFormat="1" ht="15" hidden="1" customHeight="1" x14ac:dyDescent="0.25"/>
    <row r="389" customFormat="1" ht="15" hidden="1" customHeight="1" x14ac:dyDescent="0.25"/>
    <row r="390" customFormat="1" ht="15" hidden="1" customHeight="1" x14ac:dyDescent="0.25"/>
    <row r="391" customFormat="1" ht="15" hidden="1" customHeight="1" x14ac:dyDescent="0.25"/>
    <row r="392" customFormat="1" ht="15" hidden="1" customHeight="1" x14ac:dyDescent="0.25"/>
    <row r="393" customFormat="1" ht="15" hidden="1" customHeight="1" x14ac:dyDescent="0.25"/>
    <row r="394" customFormat="1" ht="15" hidden="1" customHeight="1" x14ac:dyDescent="0.25"/>
    <row r="395" customFormat="1" ht="15" hidden="1" customHeight="1" x14ac:dyDescent="0.25"/>
    <row r="396" customFormat="1" ht="15" hidden="1" customHeight="1" x14ac:dyDescent="0.25"/>
    <row r="397" customFormat="1" ht="15" hidden="1" customHeight="1" x14ac:dyDescent="0.25"/>
    <row r="398" customFormat="1" ht="15" hidden="1" customHeight="1" x14ac:dyDescent="0.25"/>
    <row r="399" customFormat="1" ht="15" hidden="1" customHeight="1" x14ac:dyDescent="0.25"/>
    <row r="400" customFormat="1" ht="15" hidden="1" customHeight="1" x14ac:dyDescent="0.25"/>
    <row r="401" spans="1:1" customFormat="1" ht="15" hidden="1" customHeight="1" x14ac:dyDescent="0.25"/>
    <row r="402" spans="1:1" customFormat="1" ht="15" hidden="1" customHeight="1" x14ac:dyDescent="0.25"/>
    <row r="403" spans="1:1" customFormat="1" ht="15" hidden="1" customHeight="1" x14ac:dyDescent="0.25"/>
    <row r="404" spans="1:1" customFormat="1" ht="15" hidden="1" customHeight="1" x14ac:dyDescent="0.25"/>
    <row r="405" spans="1:1" customFormat="1" ht="15" hidden="1" customHeight="1" x14ac:dyDescent="0.25"/>
    <row r="406" spans="1:1" customFormat="1" ht="15" hidden="1" customHeight="1" x14ac:dyDescent="0.25"/>
    <row r="407" spans="1:1" customFormat="1" ht="15" hidden="1" customHeight="1" x14ac:dyDescent="0.25"/>
    <row r="408" spans="1:1" ht="15" hidden="1" customHeight="1" x14ac:dyDescent="0.25">
      <c r="A408"/>
    </row>
    <row r="409" spans="1:1" ht="15" hidden="1" customHeight="1" x14ac:dyDescent="0.25">
      <c r="A409"/>
    </row>
    <row r="410" spans="1:1" ht="15" hidden="1" customHeight="1" x14ac:dyDescent="0.25"/>
    <row r="411" spans="1:1" ht="15" hidden="1" customHeight="1" x14ac:dyDescent="0.25"/>
    <row r="412" spans="1:1" ht="15" hidden="1" customHeight="1" x14ac:dyDescent="0.25"/>
    <row r="413" spans="1:1" ht="15" hidden="1" customHeight="1" x14ac:dyDescent="0.25"/>
    <row r="414" spans="1:1" ht="15" hidden="1" customHeight="1" x14ac:dyDescent="0.25"/>
    <row r="415" spans="1:1" ht="15" hidden="1" customHeight="1" x14ac:dyDescent="0.25"/>
    <row r="416" spans="1:1" ht="15" hidden="1" customHeight="1" x14ac:dyDescent="0.25"/>
  </sheetData>
  <sheetProtection algorithmName="SHA-512" hashValue="I9p5zY88a36vHvkWh7arzaL0PUr2qIoPcz1/4PLCjPsDapRm8DY4YwpujOL014bRfmixdLJGtJ1JlfAJ8WoFww==" saltValue="lBtAOm7lAOc2vIuggEQEtg==" spinCount="100000" sheet="1" objects="1" scenarios="1"/>
  <dataConsolidate/>
  <mergeCells count="74">
    <mergeCell ref="C78:D78"/>
    <mergeCell ref="C79:D79"/>
    <mergeCell ref="C80:D80"/>
    <mergeCell ref="C81:D81"/>
    <mergeCell ref="C83:D83"/>
    <mergeCell ref="C73:D73"/>
    <mergeCell ref="C74:D74"/>
    <mergeCell ref="C75:D75"/>
    <mergeCell ref="C76:D76"/>
    <mergeCell ref="C77:D77"/>
    <mergeCell ref="G41:H41"/>
    <mergeCell ref="G42:H42"/>
    <mergeCell ref="G43:H43"/>
    <mergeCell ref="C87:D87"/>
    <mergeCell ref="B67:E67"/>
    <mergeCell ref="C84:D84"/>
    <mergeCell ref="C85:D85"/>
    <mergeCell ref="C86:D86"/>
    <mergeCell ref="C82:D82"/>
    <mergeCell ref="B83:B84"/>
    <mergeCell ref="B48:C48"/>
    <mergeCell ref="G44:H44"/>
    <mergeCell ref="G45:H45"/>
    <mergeCell ref="G46:H46"/>
    <mergeCell ref="B85:B87"/>
    <mergeCell ref="C68:D68"/>
    <mergeCell ref="G39:H39"/>
    <mergeCell ref="G28:H28"/>
    <mergeCell ref="B54:F54"/>
    <mergeCell ref="B121:F121"/>
    <mergeCell ref="B122:F122"/>
    <mergeCell ref="G29:H29"/>
    <mergeCell ref="G30:H30"/>
    <mergeCell ref="G31:H31"/>
    <mergeCell ref="G37:H37"/>
    <mergeCell ref="G38:H38"/>
    <mergeCell ref="G32:H32"/>
    <mergeCell ref="G33:H33"/>
    <mergeCell ref="G34:H34"/>
    <mergeCell ref="G35:H35"/>
    <mergeCell ref="G36:H36"/>
    <mergeCell ref="G40:H40"/>
    <mergeCell ref="B123:F123"/>
    <mergeCell ref="B117:C117"/>
    <mergeCell ref="A61:M61"/>
    <mergeCell ref="H54:I54"/>
    <mergeCell ref="H121:I121"/>
    <mergeCell ref="H122:I122"/>
    <mergeCell ref="H123:I123"/>
    <mergeCell ref="B70:B71"/>
    <mergeCell ref="B72:B74"/>
    <mergeCell ref="B75:B76"/>
    <mergeCell ref="B77:B78"/>
    <mergeCell ref="B80:B81"/>
    <mergeCell ref="C69:D69"/>
    <mergeCell ref="C70:D70"/>
    <mergeCell ref="C71:D71"/>
    <mergeCell ref="C72:D72"/>
    <mergeCell ref="A1:M1"/>
    <mergeCell ref="B52:F52"/>
    <mergeCell ref="B53:F53"/>
    <mergeCell ref="H2:I4"/>
    <mergeCell ref="B13:E13"/>
    <mergeCell ref="B15:E15"/>
    <mergeCell ref="A17:M17"/>
    <mergeCell ref="A9:M9"/>
    <mergeCell ref="A5:M7"/>
    <mergeCell ref="B14:E14"/>
    <mergeCell ref="B11:C11"/>
    <mergeCell ref="D11:E11"/>
    <mergeCell ref="H52:I52"/>
    <mergeCell ref="H53:I53"/>
    <mergeCell ref="G26:H26"/>
    <mergeCell ref="G27:H27"/>
  </mergeCells>
  <conditionalFormatting sqref="G53">
    <cfRule type="expression" dxfId="170" priority="17">
      <formula>$B53="/"</formula>
    </cfRule>
    <cfRule type="expression" dxfId="169" priority="18">
      <formula>$B53="No evidence required at this submission stage"</formula>
    </cfRule>
  </conditionalFormatting>
  <conditionalFormatting sqref="G54">
    <cfRule type="expression" dxfId="168" priority="14">
      <formula>$B54="/"</formula>
    </cfRule>
    <cfRule type="expression" dxfId="167" priority="15">
      <formula>$B54="No evidence required at this submission stage"</formula>
    </cfRule>
  </conditionalFormatting>
  <conditionalFormatting sqref="G122">
    <cfRule type="expression" dxfId="166" priority="11">
      <formula>$B122="/"</formula>
    </cfRule>
    <cfRule type="expression" dxfId="165" priority="12">
      <formula>$B122="No evidence required at this submission stage"</formula>
    </cfRule>
  </conditionalFormatting>
  <conditionalFormatting sqref="B122">
    <cfRule type="expression" dxfId="164" priority="10">
      <formula>#REF!&lt;&gt;"Prescriptive Path"</formula>
    </cfRule>
  </conditionalFormatting>
  <conditionalFormatting sqref="G123">
    <cfRule type="expression" dxfId="163" priority="8">
      <formula>$B123="/"</formula>
    </cfRule>
    <cfRule type="expression" dxfId="162" priority="9">
      <formula>$B123="No evidence required at this submission stage"</formula>
    </cfRule>
  </conditionalFormatting>
  <conditionalFormatting sqref="H53:I54">
    <cfRule type="expression" dxfId="161" priority="5">
      <formula>$B53="/"</formula>
    </cfRule>
    <cfRule type="expression" dxfId="160" priority="6">
      <formula>$B53="No evidence required at this submission stage"</formula>
    </cfRule>
  </conditionalFormatting>
  <conditionalFormatting sqref="H122:I123">
    <cfRule type="expression" dxfId="159" priority="3">
      <formula>$B122="/"</formula>
    </cfRule>
    <cfRule type="expression" dxfId="158" priority="4">
      <formula>$B122="No evidence required at this submission stage"</formula>
    </cfRule>
  </conditionalFormatting>
  <conditionalFormatting sqref="B53:B54">
    <cfRule type="expression" dxfId="157" priority="2">
      <formula>#REF!&lt;&gt;"Prescriptive Path"</formula>
    </cfRule>
  </conditionalFormatting>
  <conditionalFormatting sqref="B123">
    <cfRule type="expression" dxfId="156" priority="1">
      <formula>#REF!&lt;&gt;"Prescriptive Path"</formula>
    </cfRule>
  </conditionalFormatting>
  <dataValidations count="9">
    <dataValidation type="list" allowBlank="1" showInputMessage="1" showErrorMessage="1" sqref="G53:G54 G122:G123">
      <formula1>"Select,Submitted,Not submitted"</formula1>
    </dataValidation>
    <dataValidation type="list" allowBlank="1" showInputMessage="1" showErrorMessage="1" sqref="D11:E11">
      <formula1>"Select,Option A: Internal Noise Levels, Option B: Reverberation Time"</formula1>
    </dataValidation>
    <dataValidation allowBlank="1" showInputMessage="1" showErrorMessage="1" prompt="As specified in Table 2 of TCXDVN 175-2005" sqref="C27:C46"/>
    <dataValidation allowBlank="1" showInputMessage="1" showErrorMessage="1" prompt="Measured in accordance with TCVN 5964 - 1995: Description and measurement of environmental noise" sqref="F27:F46"/>
    <dataValidation allowBlank="1" showInputMessage="1" showErrorMessage="1" prompt="Provide more details on the space types, measurements, influencing factors (Yếu tố ảnh hưởng), etc." sqref="G27:H46"/>
    <dataValidation type="list" allowBlank="1" showInputMessage="1" showErrorMessage="1" prompt="As given in Table 2 of TCXDVN 175-2005" sqref="D27:D46">
      <formula1>"Select,35,45,50,55,60"</formula1>
    </dataValidation>
    <dataValidation type="list" allowBlank="1" showInputMessage="1" showErrorMessage="1" prompt="As given in Table 3 of TCXDVN 175-2005. _x000a_Based on the influencing factors." sqref="E27:E46">
      <formula1>"Select,-5,0,+5,+10,+15,+20"</formula1>
    </dataValidation>
    <dataValidation type="list" allowBlank="1" showInputMessage="1" showErrorMessage="1" sqref="C96:C115">
      <formula1>space_type_acoustic</formula1>
    </dataValidation>
    <dataValidation type="list" allowBlank="1" showInputMessage="1" showErrorMessage="1" sqref="D96:D115">
      <formula1>$O96:$R96</formula1>
    </dataValidation>
  </dataValidations>
  <hyperlinks>
    <hyperlink ref="J4" location="'H-2 CO2 Monitoring'!B3" tooltip="H-2" display="H-2"/>
    <hyperlink ref="J3" location="'H-1 Fresh Air Supply'!B3" tooltip="H-1" display="H-1"/>
    <hyperlink ref="J2" location="'H-PR-1 Indoor Smoking'!B3" tooltip="H-PR-1" display="H-PR-1"/>
    <hyperlink ref="M2" location="'H-9 Lighting Comfort'!B3" tooltip="H-9" display="H-9"/>
    <hyperlink ref="M4" location="'H-12 Post-occupancy Comfort'!B3" tooltip="H-12" display="H-12"/>
    <hyperlink ref="K3" location="'H-4 Removal of pollutants'!B3" tooltip="H-4" display="H-4"/>
    <hyperlink ref="L3" location="'H-7 Daylighting'!B3" tooltip="H-7" display="H-7"/>
    <hyperlink ref="L4" location="'H-8 External Views'!B3" tooltip="H-8" display="H-8"/>
    <hyperlink ref="M3" location="'H-10 Thermal Comfort'!B3" tooltip="H-10" display="H-10"/>
    <hyperlink ref="L2" location="'H-6 Green Cleaning'!B3" tooltip="H-6" display="H-6"/>
    <hyperlink ref="K4" location="'H-5 Interior Plants'!B3" tooltip="H-5" display="H-5"/>
    <hyperlink ref="K2" location="'H-3 Low-VOC Emissions '!D3" tooltip="H-3" display="H-3"/>
    <hyperlink ref="I91" r:id="rId1"/>
  </hyperlinks>
  <pageMargins left="0.7" right="0.7" top="0.75" bottom="0.75" header="0.3" footer="0.3"/>
  <pageSetup orientation="portrait" verticalDpi="120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43634"/>
  </sheetPr>
  <dimension ref="A1:N114"/>
  <sheetViews>
    <sheetView showGridLines="0"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5.7109375" style="37" customWidth="1"/>
    <col min="2" max="2" width="18.7109375" style="37" customWidth="1"/>
    <col min="3" max="3" width="19" style="37" customWidth="1"/>
    <col min="4" max="6" width="18.42578125" style="37" customWidth="1"/>
    <col min="7" max="7" width="19.42578125" style="37" customWidth="1"/>
    <col min="8" max="8" width="19.85546875" style="37" customWidth="1"/>
    <col min="9" max="9" width="16.7109375" style="37" customWidth="1"/>
    <col min="10" max="13" width="8.7109375" style="37" customWidth="1"/>
    <col min="14" max="16384" width="9.140625" style="37" hidden="1"/>
  </cols>
  <sheetData>
    <row r="1" spans="1:13" ht="23.25" x14ac:dyDescent="0.25">
      <c r="A1" s="2104" t="s">
        <v>570</v>
      </c>
      <c r="B1" s="2104"/>
      <c r="C1" s="2104"/>
      <c r="D1" s="2104"/>
      <c r="E1" s="2104"/>
      <c r="F1" s="2104"/>
      <c r="G1" s="2104"/>
      <c r="H1" s="2104"/>
      <c r="I1" s="2104"/>
      <c r="J1" s="2104"/>
      <c r="K1" s="2104"/>
      <c r="L1" s="2104"/>
      <c r="M1" s="2104"/>
    </row>
    <row r="2" spans="1:13" ht="15" customHeight="1" x14ac:dyDescent="0.25">
      <c r="A2" s="48"/>
      <c r="B2" s="49"/>
      <c r="C2" s="49"/>
      <c r="D2" s="49"/>
      <c r="E2" s="49"/>
      <c r="F2" s="48"/>
      <c r="G2" s="48"/>
      <c r="H2" s="1694" t="s">
        <v>1702</v>
      </c>
      <c r="I2" s="1694"/>
      <c r="J2" s="752" t="s">
        <v>340</v>
      </c>
      <c r="K2" s="752" t="s">
        <v>35</v>
      </c>
      <c r="L2" s="752" t="s">
        <v>313</v>
      </c>
      <c r="M2" s="752" t="s">
        <v>316</v>
      </c>
    </row>
    <row r="3" spans="1:13" ht="15" customHeight="1" x14ac:dyDescent="0.25">
      <c r="A3" s="48"/>
      <c r="B3" s="49"/>
      <c r="C3" s="49"/>
      <c r="D3" s="49"/>
      <c r="E3" s="49"/>
      <c r="F3" s="48"/>
      <c r="G3" s="48"/>
      <c r="H3" s="1694"/>
      <c r="I3" s="1694"/>
      <c r="J3" s="752" t="s">
        <v>30</v>
      </c>
      <c r="K3" s="752" t="s">
        <v>37</v>
      </c>
      <c r="L3" s="752" t="s">
        <v>314</v>
      </c>
      <c r="M3" s="752" t="s">
        <v>317</v>
      </c>
    </row>
    <row r="4" spans="1:13" ht="15" customHeight="1" x14ac:dyDescent="0.25">
      <c r="A4" s="48"/>
      <c r="B4" s="49"/>
      <c r="C4" s="49"/>
      <c r="D4" s="49"/>
      <c r="E4" s="49"/>
      <c r="F4" s="48"/>
      <c r="G4" s="48"/>
      <c r="H4" s="1695"/>
      <c r="I4" s="1695"/>
      <c r="J4" s="752" t="s">
        <v>32</v>
      </c>
      <c r="K4" s="752" t="s">
        <v>248</v>
      </c>
      <c r="L4" s="752" t="s">
        <v>315</v>
      </c>
      <c r="M4" s="752" t="s">
        <v>318</v>
      </c>
    </row>
    <row r="5" spans="1:13" ht="18" customHeight="1" x14ac:dyDescent="0.25">
      <c r="A5" s="1704" t="s">
        <v>2843</v>
      </c>
      <c r="B5" s="1705"/>
      <c r="C5" s="1705"/>
      <c r="D5" s="1705"/>
      <c r="E5" s="1705"/>
      <c r="F5" s="1705"/>
      <c r="G5" s="1705"/>
      <c r="H5" s="1705"/>
      <c r="I5" s="1705"/>
      <c r="J5" s="1705"/>
      <c r="K5" s="1705"/>
      <c r="L5" s="1705"/>
      <c r="M5" s="1706"/>
    </row>
    <row r="6" spans="1:13" ht="18" customHeight="1" x14ac:dyDescent="0.25">
      <c r="A6" s="1707"/>
      <c r="B6" s="1708"/>
      <c r="C6" s="1708"/>
      <c r="D6" s="1708"/>
      <c r="E6" s="1708"/>
      <c r="F6" s="1708"/>
      <c r="G6" s="1708"/>
      <c r="H6" s="1708"/>
      <c r="I6" s="1708"/>
      <c r="J6" s="1708"/>
      <c r="K6" s="1708"/>
      <c r="L6" s="1708"/>
      <c r="M6" s="1709"/>
    </row>
    <row r="7" spans="1:13" ht="18" customHeight="1" x14ac:dyDescent="0.25">
      <c r="A7" s="1710"/>
      <c r="B7" s="1711"/>
      <c r="C7" s="1711"/>
      <c r="D7" s="1711"/>
      <c r="E7" s="1711"/>
      <c r="F7" s="1711"/>
      <c r="G7" s="1711"/>
      <c r="H7" s="1711"/>
      <c r="I7" s="1711"/>
      <c r="J7" s="1711"/>
      <c r="K7" s="1711"/>
      <c r="L7" s="1711"/>
      <c r="M7" s="1712"/>
    </row>
    <row r="8" spans="1:13" ht="12" customHeight="1" x14ac:dyDescent="0.25">
      <c r="A8" s="48"/>
      <c r="B8" s="49"/>
      <c r="C8" s="49"/>
      <c r="D8" s="49"/>
      <c r="E8" s="49"/>
      <c r="F8" s="48"/>
      <c r="G8" s="48"/>
      <c r="H8" s="48"/>
      <c r="I8" s="48"/>
      <c r="J8" s="48"/>
      <c r="K8" s="48"/>
      <c r="L8" s="48"/>
      <c r="M8" s="48"/>
    </row>
    <row r="9" spans="1:13" ht="18" customHeight="1" x14ac:dyDescent="0.25">
      <c r="A9" s="2092" t="s">
        <v>95</v>
      </c>
      <c r="B9" s="2092"/>
      <c r="C9" s="2092"/>
      <c r="D9" s="2092"/>
      <c r="E9" s="2092"/>
      <c r="F9" s="2092"/>
      <c r="G9" s="2092"/>
      <c r="H9" s="2092"/>
      <c r="I9" s="2092"/>
      <c r="J9" s="2092"/>
      <c r="K9" s="2092"/>
      <c r="L9" s="2092"/>
      <c r="M9" s="2092"/>
    </row>
    <row r="10" spans="1:13" x14ac:dyDescent="0.25">
      <c r="A10" s="48"/>
      <c r="B10" s="49"/>
      <c r="C10" s="49"/>
      <c r="D10" s="49"/>
      <c r="E10" s="49"/>
      <c r="F10" s="48"/>
      <c r="G10" s="48"/>
      <c r="H10" s="48"/>
      <c r="I10" s="48"/>
      <c r="J10" s="48"/>
      <c r="K10" s="48"/>
      <c r="L10" s="48"/>
      <c r="M10" s="48"/>
    </row>
    <row r="11" spans="1:13" ht="21" customHeight="1" x14ac:dyDescent="0.25">
      <c r="A11" s="48"/>
      <c r="B11" s="2097" t="s">
        <v>96</v>
      </c>
      <c r="C11" s="2098"/>
      <c r="D11" s="2098"/>
      <c r="E11" s="2098"/>
      <c r="F11" s="677" t="s">
        <v>75</v>
      </c>
      <c r="G11" s="677" t="s">
        <v>19</v>
      </c>
      <c r="H11" s="50" t="s">
        <v>151</v>
      </c>
      <c r="I11" s="48"/>
      <c r="J11" s="48"/>
      <c r="K11" s="48"/>
      <c r="L11" s="48"/>
      <c r="M11" s="48"/>
    </row>
    <row r="12" spans="1:13" ht="65.25" customHeight="1" x14ac:dyDescent="0.25">
      <c r="A12" s="48"/>
      <c r="B12" s="2105" t="s">
        <v>2543</v>
      </c>
      <c r="C12" s="2106"/>
      <c r="D12" s="2106"/>
      <c r="E12" s="2107"/>
      <c r="F12" s="320">
        <v>1</v>
      </c>
      <c r="G12" s="320">
        <f>C69</f>
        <v>0</v>
      </c>
      <c r="H12" s="320" t="str">
        <f>C70</f>
        <v>No</v>
      </c>
      <c r="I12" s="48"/>
      <c r="J12" s="48"/>
      <c r="K12" s="48"/>
      <c r="L12" s="48"/>
      <c r="M12" s="48"/>
    </row>
    <row r="13" spans="1:13" x14ac:dyDescent="0.25">
      <c r="A13" s="48"/>
      <c r="B13" s="49"/>
      <c r="C13" s="49"/>
      <c r="D13" s="49"/>
      <c r="E13" s="49"/>
      <c r="F13" s="48"/>
      <c r="G13" s="48"/>
      <c r="H13" s="48"/>
      <c r="I13" s="48"/>
      <c r="J13" s="48"/>
      <c r="K13" s="48"/>
      <c r="L13" s="48"/>
      <c r="M13" s="48"/>
    </row>
    <row r="14" spans="1:13" ht="18" customHeight="1" x14ac:dyDescent="0.25">
      <c r="A14" s="2092" t="s">
        <v>117</v>
      </c>
      <c r="B14" s="2092"/>
      <c r="C14" s="2092"/>
      <c r="D14" s="2092"/>
      <c r="E14" s="2092"/>
      <c r="F14" s="2092"/>
      <c r="G14" s="2092"/>
      <c r="H14" s="2092"/>
      <c r="I14" s="2092"/>
      <c r="J14" s="2092"/>
      <c r="K14" s="2092"/>
      <c r="L14" s="2092"/>
      <c r="M14" s="2092"/>
    </row>
    <row r="15" spans="1:13" ht="16.5" customHeight="1" x14ac:dyDescent="0.25">
      <c r="A15" s="48"/>
      <c r="B15" s="49"/>
      <c r="C15" s="49"/>
      <c r="D15" s="49"/>
      <c r="E15" s="49"/>
      <c r="F15" s="48"/>
      <c r="G15" s="48"/>
      <c r="H15" s="48"/>
      <c r="I15" s="48"/>
      <c r="J15" s="48"/>
      <c r="K15" s="48"/>
      <c r="L15" s="48"/>
      <c r="M15" s="48"/>
    </row>
    <row r="16" spans="1:13" ht="18" customHeight="1" x14ac:dyDescent="0.25">
      <c r="A16" s="48"/>
      <c r="B16" s="2304" t="s">
        <v>834</v>
      </c>
      <c r="C16" s="2305"/>
      <c r="D16" s="2305"/>
      <c r="E16" s="2305"/>
      <c r="F16" s="2305"/>
      <c r="G16" s="2305"/>
      <c r="H16" s="2305"/>
      <c r="I16" s="2305"/>
      <c r="J16" s="2306"/>
      <c r="K16" s="48"/>
      <c r="L16" s="48"/>
      <c r="M16" s="48"/>
    </row>
    <row r="17" spans="1:14" ht="18" customHeight="1" x14ac:dyDescent="0.25">
      <c r="A17" s="48"/>
      <c r="B17" s="2266" t="s">
        <v>851</v>
      </c>
      <c r="C17" s="2267"/>
      <c r="D17" s="2267"/>
      <c r="E17" s="2267"/>
      <c r="F17" s="2267"/>
      <c r="G17" s="2267"/>
      <c r="H17" s="2267"/>
      <c r="I17" s="2267"/>
      <c r="J17" s="2268"/>
      <c r="K17" s="48"/>
      <c r="L17" s="48"/>
      <c r="M17" s="48"/>
    </row>
    <row r="18" spans="1:14" x14ac:dyDescent="0.25">
      <c r="A18" s="48"/>
      <c r="B18" s="49"/>
      <c r="C18" s="49"/>
      <c r="D18" s="49"/>
      <c r="E18" s="49"/>
      <c r="F18" s="48"/>
      <c r="G18" s="48"/>
      <c r="H18" s="48"/>
      <c r="I18" s="48"/>
      <c r="J18" s="48"/>
      <c r="K18" s="48"/>
      <c r="L18" s="48"/>
      <c r="M18" s="48"/>
    </row>
    <row r="19" spans="1:14" x14ac:dyDescent="0.25">
      <c r="A19" s="48"/>
      <c r="B19" s="671" t="s">
        <v>1454</v>
      </c>
      <c r="C19" s="397"/>
      <c r="D19" s="397"/>
      <c r="E19" s="397"/>
      <c r="F19" s="397"/>
      <c r="G19" s="397"/>
      <c r="H19" s="397"/>
      <c r="I19" s="397"/>
      <c r="J19" s="397"/>
      <c r="K19" s="48"/>
      <c r="L19" s="48"/>
      <c r="M19" s="48"/>
    </row>
    <row r="20" spans="1:14" ht="13.5" customHeight="1" x14ac:dyDescent="0.25">
      <c r="A20" s="48"/>
      <c r="B20" s="671"/>
      <c r="C20" s="856"/>
      <c r="D20" s="856"/>
      <c r="E20" s="856"/>
      <c r="F20" s="856"/>
      <c r="G20" s="856"/>
      <c r="H20" s="856"/>
      <c r="I20" s="856"/>
      <c r="J20" s="856"/>
      <c r="K20" s="48"/>
      <c r="L20" s="48"/>
      <c r="M20" s="48"/>
    </row>
    <row r="21" spans="1:14" ht="16.5" customHeight="1" x14ac:dyDescent="0.25">
      <c r="A21" s="48"/>
      <c r="B21" s="2307" t="s">
        <v>115</v>
      </c>
      <c r="C21" s="2307"/>
      <c r="D21" s="620"/>
      <c r="E21" s="541"/>
      <c r="F21" s="541"/>
      <c r="G21" s="541"/>
      <c r="H21" s="541"/>
      <c r="I21" s="541"/>
      <c r="J21" s="541"/>
      <c r="K21" s="48"/>
      <c r="L21" s="48"/>
      <c r="M21" s="48"/>
    </row>
    <row r="22" spans="1:14" ht="16.5" customHeight="1" x14ac:dyDescent="0.25">
      <c r="A22" s="48"/>
      <c r="B22" s="2307" t="s">
        <v>835</v>
      </c>
      <c r="C22" s="2307"/>
      <c r="D22" s="620"/>
      <c r="E22" s="397"/>
      <c r="F22" s="397"/>
      <c r="G22" s="397"/>
      <c r="H22" s="397"/>
      <c r="I22" s="397"/>
      <c r="J22" s="397"/>
      <c r="K22" s="48"/>
      <c r="L22" s="48"/>
      <c r="M22" s="48"/>
    </row>
    <row r="23" spans="1:14" ht="15" customHeight="1" x14ac:dyDescent="0.25">
      <c r="A23" s="48"/>
      <c r="B23" s="290"/>
      <c r="C23" s="397"/>
      <c r="D23" s="397"/>
      <c r="E23" s="397"/>
      <c r="F23" s="397"/>
      <c r="G23" s="397"/>
      <c r="H23" s="397"/>
      <c r="I23" s="397"/>
      <c r="J23" s="397"/>
      <c r="K23" s="48"/>
      <c r="L23" s="48"/>
      <c r="M23" s="48"/>
    </row>
    <row r="24" spans="1:14" ht="15" customHeight="1" x14ac:dyDescent="0.25">
      <c r="A24" s="48"/>
      <c r="B24" s="894" t="s">
        <v>854</v>
      </c>
      <c r="C24" s="498"/>
      <c r="D24" s="498"/>
      <c r="E24" s="498"/>
      <c r="F24" s="498"/>
      <c r="G24" s="498"/>
      <c r="H24" s="498"/>
      <c r="I24" s="498"/>
      <c r="J24" s="498"/>
      <c r="K24" s="48"/>
      <c r="L24" s="48"/>
      <c r="M24" s="48"/>
    </row>
    <row r="25" spans="1:14" ht="12" customHeight="1" x14ac:dyDescent="0.25">
      <c r="A25" s="48"/>
      <c r="B25" s="894"/>
      <c r="C25" s="856"/>
      <c r="D25" s="856"/>
      <c r="E25" s="856"/>
      <c r="F25" s="856"/>
      <c r="G25" s="856"/>
      <c r="H25" s="856"/>
      <c r="I25" s="856"/>
      <c r="J25" s="856"/>
      <c r="K25" s="48"/>
      <c r="L25" s="48"/>
      <c r="M25" s="48"/>
    </row>
    <row r="26" spans="1:14" ht="25.5" x14ac:dyDescent="0.25">
      <c r="A26" s="48"/>
      <c r="B26" s="255" t="s">
        <v>841</v>
      </c>
      <c r="C26" s="851" t="s">
        <v>836</v>
      </c>
      <c r="D26" s="851" t="s">
        <v>837</v>
      </c>
      <c r="E26" s="851" t="s">
        <v>838</v>
      </c>
      <c r="F26" s="851" t="s">
        <v>839</v>
      </c>
      <c r="G26" s="851" t="s">
        <v>840</v>
      </c>
      <c r="H26" s="895" t="s">
        <v>1455</v>
      </c>
      <c r="I26" s="498"/>
      <c r="J26" s="498"/>
      <c r="K26" s="48"/>
      <c r="L26" s="48"/>
      <c r="M26" s="48"/>
    </row>
    <row r="27" spans="1:14" ht="15" customHeight="1" x14ac:dyDescent="0.25">
      <c r="A27" s="48"/>
      <c r="B27" s="2308" t="s">
        <v>842</v>
      </c>
      <c r="C27" s="2309"/>
      <c r="D27" s="2309"/>
      <c r="E27" s="2309"/>
      <c r="F27" s="2309"/>
      <c r="G27" s="2309"/>
      <c r="H27" s="2309"/>
      <c r="I27" s="498"/>
      <c r="J27" s="498"/>
      <c r="K27" s="48"/>
      <c r="L27" s="48"/>
      <c r="M27" s="48"/>
    </row>
    <row r="28" spans="1:14" ht="15" customHeight="1" x14ac:dyDescent="0.25">
      <c r="A28" s="48"/>
      <c r="B28" s="542" t="s">
        <v>843</v>
      </c>
      <c r="C28" s="493"/>
      <c r="D28" s="493"/>
      <c r="E28" s="493"/>
      <c r="F28" s="493"/>
      <c r="G28" s="493"/>
      <c r="H28" s="896" t="str">
        <f>IFERROR((C28*1+D28*2+E28*3+F28*4+G28*5)/SUM(C28:G28),"")</f>
        <v/>
      </c>
      <c r="I28" s="498"/>
      <c r="J28" s="498"/>
      <c r="K28" s="48"/>
      <c r="L28" s="48"/>
      <c r="M28" s="48"/>
      <c r="N28" s="898" t="str">
        <f>H28</f>
        <v/>
      </c>
    </row>
    <row r="29" spans="1:14" ht="15" customHeight="1" x14ac:dyDescent="0.25">
      <c r="A29" s="48"/>
      <c r="B29" s="542" t="s">
        <v>844</v>
      </c>
      <c r="C29" s="493"/>
      <c r="D29" s="493"/>
      <c r="E29" s="493"/>
      <c r="F29" s="493"/>
      <c r="G29" s="493"/>
      <c r="H29" s="896" t="str">
        <f t="shared" ref="H29:H30" si="0">IFERROR((C29*1+D29*2+E29*3+F29*4+G29*5)/SUM(C29:G29),"")</f>
        <v/>
      </c>
      <c r="I29" s="498"/>
      <c r="J29" s="498"/>
      <c r="K29" s="48"/>
      <c r="L29" s="48"/>
      <c r="M29" s="48"/>
      <c r="N29" s="898" t="str">
        <f t="shared" ref="N29:N42" si="1">H29</f>
        <v/>
      </c>
    </row>
    <row r="30" spans="1:14" ht="15" customHeight="1" x14ac:dyDescent="0.25">
      <c r="A30" s="48"/>
      <c r="B30" s="542" t="s">
        <v>845</v>
      </c>
      <c r="C30" s="493"/>
      <c r="D30" s="493"/>
      <c r="E30" s="493"/>
      <c r="F30" s="493"/>
      <c r="G30" s="493"/>
      <c r="H30" s="896" t="str">
        <f t="shared" si="0"/>
        <v/>
      </c>
      <c r="I30" s="498"/>
      <c r="J30" s="498"/>
      <c r="K30" s="48"/>
      <c r="L30" s="48"/>
      <c r="M30" s="48"/>
      <c r="N30" s="898" t="str">
        <f t="shared" si="1"/>
        <v/>
      </c>
    </row>
    <row r="31" spans="1:14" ht="15" customHeight="1" x14ac:dyDescent="0.25">
      <c r="A31" s="48"/>
      <c r="B31" s="2308" t="s">
        <v>1038</v>
      </c>
      <c r="C31" s="2309"/>
      <c r="D31" s="2309"/>
      <c r="E31" s="2309"/>
      <c r="F31" s="2309"/>
      <c r="G31" s="2309"/>
      <c r="H31" s="2309"/>
      <c r="I31" s="498"/>
      <c r="J31" s="498"/>
      <c r="K31" s="48"/>
      <c r="L31" s="48"/>
      <c r="M31" s="48"/>
      <c r="N31" s="898"/>
    </row>
    <row r="32" spans="1:14" ht="15" customHeight="1" x14ac:dyDescent="0.25">
      <c r="A32" s="48"/>
      <c r="B32" s="542" t="s">
        <v>846</v>
      </c>
      <c r="C32" s="493"/>
      <c r="D32" s="493"/>
      <c r="E32" s="493"/>
      <c r="F32" s="493"/>
      <c r="G32" s="493"/>
      <c r="H32" s="896" t="str">
        <f>IFERROR((C32*1+D32*2+E32*3+F32*4+G32*5)/SUM(C32:G32),"")</f>
        <v/>
      </c>
      <c r="I32" s="498"/>
      <c r="J32" s="498"/>
      <c r="K32" s="48"/>
      <c r="L32" s="48"/>
      <c r="M32" s="48"/>
      <c r="N32" s="898" t="str">
        <f t="shared" si="1"/>
        <v/>
      </c>
    </row>
    <row r="33" spans="1:14" ht="15" customHeight="1" x14ac:dyDescent="0.25">
      <c r="A33" s="48"/>
      <c r="B33" s="542" t="s">
        <v>1039</v>
      </c>
      <c r="C33" s="493"/>
      <c r="D33" s="493"/>
      <c r="E33" s="493"/>
      <c r="F33" s="493"/>
      <c r="G33" s="493"/>
      <c r="H33" s="896" t="str">
        <f t="shared" ref="H33" si="2">IFERROR((C33*1+D33*2+E33*3+F33*4+G33*5)/SUM(C33:G33),"")</f>
        <v/>
      </c>
      <c r="I33" s="498"/>
      <c r="J33" s="498"/>
      <c r="K33" s="48"/>
      <c r="L33" s="48"/>
      <c r="M33" s="48"/>
      <c r="N33" s="898" t="str">
        <f t="shared" si="1"/>
        <v/>
      </c>
    </row>
    <row r="34" spans="1:14" ht="15" customHeight="1" x14ac:dyDescent="0.25">
      <c r="A34" s="48"/>
      <c r="B34" s="2308" t="s">
        <v>850</v>
      </c>
      <c r="C34" s="2309"/>
      <c r="D34" s="2309"/>
      <c r="E34" s="2309"/>
      <c r="F34" s="2309"/>
      <c r="G34" s="2309"/>
      <c r="H34" s="2309"/>
      <c r="I34" s="498"/>
      <c r="J34" s="498"/>
      <c r="K34" s="48"/>
      <c r="L34" s="48"/>
      <c r="M34" s="48"/>
      <c r="N34" s="898"/>
    </row>
    <row r="35" spans="1:14" ht="15" customHeight="1" x14ac:dyDescent="0.25">
      <c r="A35" s="48"/>
      <c r="B35" s="542" t="s">
        <v>856</v>
      </c>
      <c r="C35" s="493"/>
      <c r="D35" s="493"/>
      <c r="E35" s="493"/>
      <c r="F35" s="493"/>
      <c r="G35" s="493"/>
      <c r="H35" s="896" t="str">
        <f>IFERROR((C35*1+D35*2+E35*3+F35*4+G35*5)/SUM(C35:G35),"")</f>
        <v/>
      </c>
      <c r="I35" s="498"/>
      <c r="J35" s="498"/>
      <c r="K35" s="48"/>
      <c r="L35" s="48"/>
      <c r="M35" s="48"/>
      <c r="N35" s="898" t="str">
        <f t="shared" si="1"/>
        <v/>
      </c>
    </row>
    <row r="36" spans="1:14" ht="15" customHeight="1" x14ac:dyDescent="0.25">
      <c r="A36" s="48"/>
      <c r="B36" s="542" t="s">
        <v>857</v>
      </c>
      <c r="C36" s="493"/>
      <c r="D36" s="493"/>
      <c r="E36" s="493"/>
      <c r="F36" s="493"/>
      <c r="G36" s="493"/>
      <c r="H36" s="896" t="str">
        <f>IFERROR((C36*1+D36*2+E36*3+F36*4+G36*5)/SUM(C36:G36),"")</f>
        <v/>
      </c>
      <c r="I36" s="498"/>
      <c r="J36" s="498"/>
      <c r="K36" s="48"/>
      <c r="L36" s="48"/>
      <c r="M36" s="48"/>
      <c r="N36" s="898" t="str">
        <f t="shared" si="1"/>
        <v/>
      </c>
    </row>
    <row r="37" spans="1:14" ht="15" customHeight="1" x14ac:dyDescent="0.25">
      <c r="A37" s="48"/>
      <c r="B37" s="542" t="s">
        <v>38</v>
      </c>
      <c r="C37" s="493"/>
      <c r="D37" s="493"/>
      <c r="E37" s="493"/>
      <c r="F37" s="493"/>
      <c r="G37" s="493"/>
      <c r="H37" s="896" t="str">
        <f t="shared" ref="H37" si="3">IFERROR((C37*1+D37*2+E37*3+F37*4+G37*5)/SUM(C37:G37),"")</f>
        <v/>
      </c>
      <c r="I37" s="498"/>
      <c r="J37" s="498"/>
      <c r="K37" s="48"/>
      <c r="L37" s="48"/>
      <c r="M37" s="48"/>
      <c r="N37" s="898" t="str">
        <f t="shared" si="1"/>
        <v/>
      </c>
    </row>
    <row r="38" spans="1:14" ht="15" customHeight="1" x14ac:dyDescent="0.25">
      <c r="A38" s="48"/>
      <c r="B38" s="2308" t="s">
        <v>249</v>
      </c>
      <c r="C38" s="2309"/>
      <c r="D38" s="2309"/>
      <c r="E38" s="2309"/>
      <c r="F38" s="2309"/>
      <c r="G38" s="2309"/>
      <c r="H38" s="2309"/>
      <c r="I38" s="498"/>
      <c r="J38" s="498"/>
      <c r="K38" s="48"/>
      <c r="L38" s="48"/>
      <c r="M38" s="48"/>
      <c r="N38" s="898"/>
    </row>
    <row r="39" spans="1:14" ht="15" customHeight="1" x14ac:dyDescent="0.25">
      <c r="A39" s="48"/>
      <c r="B39" s="542" t="s">
        <v>847</v>
      </c>
      <c r="C39" s="493"/>
      <c r="D39" s="493"/>
      <c r="E39" s="493"/>
      <c r="F39" s="493"/>
      <c r="G39" s="493"/>
      <c r="H39" s="896" t="str">
        <f>IFERROR((C39*1+D39*2+E39*3+F39*4+G39*5)/SUM(C39:G39),"")</f>
        <v/>
      </c>
      <c r="I39" s="498"/>
      <c r="J39" s="498"/>
      <c r="K39" s="48"/>
      <c r="L39" s="48"/>
      <c r="M39" s="48"/>
      <c r="N39" s="898" t="str">
        <f t="shared" si="1"/>
        <v/>
      </c>
    </row>
    <row r="40" spans="1:14" ht="15" customHeight="1" x14ac:dyDescent="0.25">
      <c r="A40" s="48"/>
      <c r="B40" s="542" t="s">
        <v>848</v>
      </c>
      <c r="C40" s="493"/>
      <c r="D40" s="493"/>
      <c r="E40" s="493"/>
      <c r="F40" s="493"/>
      <c r="G40" s="493"/>
      <c r="H40" s="896" t="str">
        <f>IFERROR((C40*1+D40*2+E40*3+F40*4+G40*5)/SUM(C40:G40),"")</f>
        <v/>
      </c>
      <c r="I40" s="397"/>
      <c r="J40" s="397"/>
      <c r="K40" s="48"/>
      <c r="L40" s="48"/>
      <c r="M40" s="48"/>
      <c r="N40" s="898" t="str">
        <f t="shared" si="1"/>
        <v/>
      </c>
    </row>
    <row r="41" spans="1:14" ht="15" customHeight="1" x14ac:dyDescent="0.25">
      <c r="A41" s="48"/>
      <c r="B41" s="2308" t="s">
        <v>849</v>
      </c>
      <c r="C41" s="2309"/>
      <c r="D41" s="2309"/>
      <c r="E41" s="2309"/>
      <c r="F41" s="2309"/>
      <c r="G41" s="2309"/>
      <c r="H41" s="2309"/>
      <c r="I41" s="856"/>
      <c r="J41" s="856"/>
      <c r="K41" s="48"/>
      <c r="L41" s="48"/>
      <c r="M41" s="48"/>
      <c r="N41" s="898"/>
    </row>
    <row r="42" spans="1:14" ht="15" customHeight="1" x14ac:dyDescent="0.25">
      <c r="A42" s="48"/>
      <c r="B42" s="542" t="s">
        <v>849</v>
      </c>
      <c r="C42" s="850"/>
      <c r="D42" s="850"/>
      <c r="E42" s="850"/>
      <c r="F42" s="850"/>
      <c r="G42" s="850"/>
      <c r="H42" s="896" t="str">
        <f>IFERROR((C42*1+D42*2+E42*3+F42*4+G42*5)/SUM(C42:G42),"")</f>
        <v/>
      </c>
      <c r="I42" s="856"/>
      <c r="J42" s="856"/>
      <c r="K42" s="48"/>
      <c r="L42" s="48"/>
      <c r="M42" s="48"/>
      <c r="N42" s="898" t="str">
        <f t="shared" si="1"/>
        <v/>
      </c>
    </row>
    <row r="43" spans="1:14" ht="18" customHeight="1" x14ac:dyDescent="0.25">
      <c r="A43" s="48"/>
      <c r="B43" s="543" t="s">
        <v>29</v>
      </c>
      <c r="C43" s="544">
        <f>SUM(C28:C30,C32,C35:C36,C39:C40,C42)</f>
        <v>0</v>
      </c>
      <c r="D43" s="544">
        <f>SUM(D28:D30,D32,D35:D36,D39:D40,D42)</f>
        <v>0</v>
      </c>
      <c r="E43" s="544">
        <f>SUM(E28:E30,E32,E35:E36,E39:E40,E42)</f>
        <v>0</v>
      </c>
      <c r="F43" s="544">
        <f>SUM(F28:F30,F32,F35:F36,F39:F40,F42)</f>
        <v>0</v>
      </c>
      <c r="G43" s="544">
        <f>SUM(G28:G30,G32,G35:G36,G39:G40,G42)</f>
        <v>0</v>
      </c>
      <c r="H43" s="897" t="str">
        <f>IFERROR((C43*1+D43*2+E43*3+F43*4+G43*5)/SUM(C43:G43),"")</f>
        <v/>
      </c>
      <c r="I43" s="397"/>
      <c r="J43" s="397"/>
      <c r="K43" s="48"/>
      <c r="L43" s="48"/>
      <c r="M43" s="48"/>
    </row>
    <row r="44" spans="1:14" x14ac:dyDescent="0.25">
      <c r="A44" s="48"/>
      <c r="B44" s="49"/>
      <c r="C44" s="49"/>
      <c r="D44" s="49"/>
      <c r="E44" s="49"/>
      <c r="F44" s="48"/>
      <c r="G44" s="48"/>
      <c r="H44" s="48"/>
      <c r="I44" s="48"/>
      <c r="J44" s="48"/>
      <c r="K44" s="48"/>
      <c r="L44" s="48"/>
      <c r="M44" s="48"/>
    </row>
    <row r="45" spans="1:14" ht="18" customHeight="1" x14ac:dyDescent="0.25">
      <c r="A45" s="48"/>
      <c r="B45" s="2128" t="s">
        <v>853</v>
      </c>
      <c r="C45" s="2130"/>
      <c r="D45" s="174" t="str">
        <f>IFERROR((C43*1+D43*2+E43*3+F43*4+G43*5)/SUM(C43:G43),"")</f>
        <v/>
      </c>
      <c r="E45" s="49"/>
      <c r="F45" s="48"/>
      <c r="G45" s="48"/>
      <c r="H45" s="48"/>
      <c r="I45" s="48"/>
      <c r="J45" s="48"/>
      <c r="K45" s="48"/>
      <c r="L45" s="48"/>
      <c r="M45" s="48"/>
    </row>
    <row r="46" spans="1:14" ht="12.75" customHeight="1" x14ac:dyDescent="0.25">
      <c r="A46" s="48"/>
      <c r="B46" s="49"/>
      <c r="C46" s="49"/>
      <c r="D46" s="49"/>
      <c r="E46" s="49"/>
      <c r="F46" s="48"/>
      <c r="G46" s="48"/>
      <c r="H46" s="48"/>
      <c r="I46" s="48"/>
      <c r="J46" s="48"/>
      <c r="K46" s="48"/>
      <c r="L46" s="48"/>
      <c r="M46" s="48"/>
    </row>
    <row r="47" spans="1:14" ht="12.75" customHeight="1" x14ac:dyDescent="0.25">
      <c r="A47" s="48"/>
      <c r="B47" s="49"/>
      <c r="C47" s="49"/>
      <c r="D47" s="49"/>
      <c r="E47" s="49"/>
      <c r="F47" s="48"/>
      <c r="G47" s="48"/>
      <c r="H47" s="48"/>
      <c r="I47" s="48"/>
      <c r="J47" s="48"/>
      <c r="K47" s="48"/>
      <c r="L47" s="48"/>
      <c r="M47" s="48"/>
    </row>
    <row r="48" spans="1:14" x14ac:dyDescent="0.25">
      <c r="A48" s="48"/>
      <c r="B48" s="852" t="s">
        <v>855</v>
      </c>
      <c r="C48" s="49"/>
      <c r="D48" s="49"/>
      <c r="E48" s="49"/>
      <c r="F48" s="48"/>
      <c r="G48" s="48"/>
      <c r="H48" s="48"/>
      <c r="I48" s="48"/>
      <c r="J48" s="48"/>
      <c r="K48" s="48"/>
      <c r="L48" s="48"/>
      <c r="M48" s="48"/>
    </row>
    <row r="49" spans="1:14" x14ac:dyDescent="0.25">
      <c r="A49" s="48"/>
      <c r="B49" s="49"/>
      <c r="C49" s="49"/>
      <c r="D49" s="49"/>
      <c r="E49" s="49"/>
      <c r="F49" s="48"/>
      <c r="G49" s="48"/>
      <c r="H49" s="48"/>
      <c r="I49" s="48"/>
      <c r="J49" s="48"/>
      <c r="K49" s="48"/>
      <c r="L49" s="48"/>
      <c r="M49" s="48"/>
    </row>
    <row r="50" spans="1:14" x14ac:dyDescent="0.25">
      <c r="A50" s="48"/>
      <c r="B50" s="894" t="s">
        <v>1458</v>
      </c>
      <c r="C50" s="49"/>
      <c r="D50" s="49"/>
      <c r="E50" s="49"/>
      <c r="F50" s="48"/>
      <c r="G50" s="48"/>
      <c r="H50" s="48"/>
      <c r="I50" s="48"/>
      <c r="J50" s="48"/>
      <c r="K50" s="48"/>
      <c r="L50" s="48"/>
      <c r="M50" s="48"/>
    </row>
    <row r="51" spans="1:14" ht="12" customHeight="1" x14ac:dyDescent="0.25">
      <c r="A51" s="48"/>
      <c r="B51" s="49"/>
      <c r="C51" s="49"/>
      <c r="D51" s="49"/>
      <c r="E51" s="49"/>
      <c r="F51" s="48"/>
      <c r="G51" s="48"/>
      <c r="H51" s="48"/>
      <c r="I51" s="48"/>
      <c r="J51" s="48"/>
      <c r="K51" s="48"/>
      <c r="L51" s="48"/>
      <c r="M51" s="48"/>
    </row>
    <row r="52" spans="1:14" ht="18" customHeight="1" x14ac:dyDescent="0.25">
      <c r="A52" s="48"/>
      <c r="B52" s="2310" t="s">
        <v>1456</v>
      </c>
      <c r="C52" s="2095"/>
      <c r="D52" s="2095" t="s">
        <v>1457</v>
      </c>
      <c r="E52" s="2095"/>
      <c r="F52" s="2095" t="s">
        <v>1459</v>
      </c>
      <c r="G52" s="2095"/>
      <c r="H52" s="2136"/>
      <c r="I52" s="48"/>
      <c r="J52" s="48"/>
      <c r="K52" s="48"/>
      <c r="L52" s="48"/>
      <c r="M52" s="48"/>
    </row>
    <row r="53" spans="1:14" ht="18.75" customHeight="1" x14ac:dyDescent="0.25">
      <c r="A53" s="48"/>
      <c r="B53" s="1625"/>
      <c r="C53" s="1662"/>
      <c r="D53" s="1625"/>
      <c r="E53" s="1626"/>
      <c r="F53" s="1685"/>
      <c r="G53" s="1685"/>
      <c r="H53" s="2239"/>
      <c r="I53" s="48"/>
      <c r="J53" s="48"/>
      <c r="K53" s="48"/>
      <c r="L53" s="48"/>
      <c r="M53" s="48"/>
      <c r="N53" s="37">
        <f>IF(AND(B53&lt;&gt;"",D53&lt;&gt;"",F53&lt;&gt;""),1,0)</f>
        <v>0</v>
      </c>
    </row>
    <row r="54" spans="1:14" ht="18.75" customHeight="1" x14ac:dyDescent="0.25">
      <c r="A54" s="48"/>
      <c r="B54" s="1625"/>
      <c r="C54" s="1662"/>
      <c r="D54" s="1625"/>
      <c r="E54" s="1626"/>
      <c r="F54" s="1662"/>
      <c r="G54" s="1662"/>
      <c r="H54" s="1626"/>
      <c r="I54" s="48"/>
      <c r="J54" s="48"/>
      <c r="K54" s="48"/>
      <c r="L54" s="48"/>
      <c r="M54" s="48"/>
      <c r="N54" s="37">
        <f t="shared" ref="N54:N57" si="4">IF(AND(B54&lt;&gt;"",D54&lt;&gt;"",F54&lt;&gt;""),1,0)</f>
        <v>0</v>
      </c>
    </row>
    <row r="55" spans="1:14" ht="18.75" customHeight="1" x14ac:dyDescent="0.25">
      <c r="A55" s="48"/>
      <c r="B55" s="1625"/>
      <c r="C55" s="1662"/>
      <c r="D55" s="1625"/>
      <c r="E55" s="1626"/>
      <c r="F55" s="1662"/>
      <c r="G55" s="1662"/>
      <c r="H55" s="1626"/>
      <c r="I55" s="48"/>
      <c r="J55" s="48"/>
      <c r="K55" s="48"/>
      <c r="L55" s="48"/>
      <c r="M55" s="48"/>
      <c r="N55" s="37">
        <f t="shared" si="4"/>
        <v>0</v>
      </c>
    </row>
    <row r="56" spans="1:14" ht="18.75" customHeight="1" x14ac:dyDescent="0.25">
      <c r="A56" s="48"/>
      <c r="B56" s="1625"/>
      <c r="C56" s="1662"/>
      <c r="D56" s="1625"/>
      <c r="E56" s="1626"/>
      <c r="F56" s="1662"/>
      <c r="G56" s="1662"/>
      <c r="H56" s="1626"/>
      <c r="I56" s="48"/>
      <c r="J56" s="48"/>
      <c r="K56" s="48"/>
      <c r="L56" s="48"/>
      <c r="M56" s="48"/>
      <c r="N56" s="37">
        <f t="shared" si="4"/>
        <v>0</v>
      </c>
    </row>
    <row r="57" spans="1:14" ht="18.75" customHeight="1" x14ac:dyDescent="0.25">
      <c r="A57" s="48"/>
      <c r="B57" s="1625"/>
      <c r="C57" s="1662"/>
      <c r="D57" s="1625"/>
      <c r="E57" s="1626"/>
      <c r="F57" s="1662"/>
      <c r="G57" s="1662"/>
      <c r="H57" s="1626"/>
      <c r="I57" s="48"/>
      <c r="J57" s="48"/>
      <c r="K57" s="48"/>
      <c r="L57" s="48"/>
      <c r="M57" s="48"/>
      <c r="N57" s="37">
        <f t="shared" si="4"/>
        <v>0</v>
      </c>
    </row>
    <row r="58" spans="1:14" ht="16.5" customHeight="1" x14ac:dyDescent="0.25">
      <c r="A58" s="48"/>
      <c r="B58" s="49"/>
      <c r="C58" s="49"/>
      <c r="D58" s="49"/>
      <c r="E58" s="49"/>
      <c r="F58" s="48"/>
      <c r="G58" s="48"/>
      <c r="H58" s="48"/>
      <c r="I58" s="48"/>
      <c r="J58" s="48"/>
      <c r="K58" s="48"/>
      <c r="L58" s="48"/>
      <c r="M58" s="48"/>
    </row>
    <row r="59" spans="1:14" ht="18" customHeight="1" x14ac:dyDescent="0.25">
      <c r="A59" s="48"/>
      <c r="B59" s="2128" t="s">
        <v>852</v>
      </c>
      <c r="C59" s="2130"/>
      <c r="D59" s="70" t="str">
        <f>IF(D45="","No",IF(D45&gt;3,"Yes",IF(COUNTIF(N28:N42,"&lt;3")=SUM(N53:N57),"Yes","No")))</f>
        <v>No</v>
      </c>
      <c r="E59" s="48"/>
      <c r="F59" s="48"/>
      <c r="G59" s="48"/>
      <c r="H59" s="48"/>
      <c r="I59" s="48"/>
      <c r="J59" s="48"/>
      <c r="K59" s="48"/>
      <c r="L59" s="48"/>
      <c r="M59" s="48"/>
    </row>
    <row r="60" spans="1:14" ht="18" customHeight="1" x14ac:dyDescent="0.25">
      <c r="A60" s="48"/>
      <c r="B60" s="49"/>
      <c r="C60" s="49"/>
      <c r="D60" s="49"/>
      <c r="E60" s="48"/>
      <c r="F60" s="48"/>
      <c r="G60" s="48"/>
      <c r="H60" s="48"/>
      <c r="I60" s="48"/>
      <c r="J60" s="48"/>
      <c r="K60" s="48"/>
      <c r="L60" s="48"/>
      <c r="M60" s="48"/>
    </row>
    <row r="61" spans="1:14" ht="18" customHeight="1" x14ac:dyDescent="0.25">
      <c r="A61" s="2092" t="s">
        <v>97</v>
      </c>
      <c r="B61" s="2092"/>
      <c r="C61" s="2092"/>
      <c r="D61" s="2092"/>
      <c r="E61" s="2092"/>
      <c r="F61" s="2092"/>
      <c r="G61" s="2092"/>
      <c r="H61" s="2092"/>
      <c r="I61" s="2092"/>
      <c r="J61" s="2092"/>
      <c r="K61" s="2092"/>
      <c r="L61" s="2092"/>
      <c r="M61" s="2092"/>
    </row>
    <row r="62" spans="1:14" x14ac:dyDescent="0.25">
      <c r="A62" s="48"/>
      <c r="B62" s="49"/>
      <c r="C62" s="49"/>
      <c r="D62" s="49"/>
      <c r="E62" s="48"/>
      <c r="F62" s="48"/>
      <c r="G62" s="48"/>
      <c r="H62" s="48"/>
      <c r="I62" s="48"/>
      <c r="J62" s="48"/>
      <c r="K62" s="48"/>
      <c r="L62" s="48"/>
      <c r="M62" s="48"/>
    </row>
    <row r="63" spans="1:14" ht="21" customHeight="1" x14ac:dyDescent="0.25">
      <c r="A63" s="48"/>
      <c r="B63" s="2093" t="s">
        <v>98</v>
      </c>
      <c r="C63" s="2094"/>
      <c r="D63" s="2094"/>
      <c r="E63" s="2094"/>
      <c r="F63" s="2094"/>
      <c r="G63" s="853" t="s">
        <v>1297</v>
      </c>
      <c r="H63" s="2095" t="s">
        <v>1298</v>
      </c>
      <c r="I63" s="2095"/>
      <c r="J63" s="667"/>
      <c r="K63" s="48"/>
      <c r="L63" s="48"/>
      <c r="M63" s="48"/>
    </row>
    <row r="64" spans="1:14" ht="27" customHeight="1" x14ac:dyDescent="0.25">
      <c r="A64" s="48"/>
      <c r="B64" s="1644" t="str">
        <f>Submittals!H144</f>
        <v>Select the Submission Stage in Project Information</v>
      </c>
      <c r="C64" s="1645"/>
      <c r="D64" s="1645"/>
      <c r="E64" s="1645"/>
      <c r="F64" s="1645"/>
      <c r="G64" s="854" t="s">
        <v>62</v>
      </c>
      <c r="H64" s="1625"/>
      <c r="I64" s="1626"/>
      <c r="J64" s="667"/>
      <c r="K64" s="48"/>
      <c r="L64" s="48"/>
      <c r="M64" s="48"/>
      <c r="N64" s="37" t="str">
        <f>IF(OR(B64="/",B64="No evidence required at this submission stage"),"Yes",IF(G64="Submitted","Yes","No"))</f>
        <v>No</v>
      </c>
    </row>
    <row r="65" spans="1:14" ht="27" customHeight="1" x14ac:dyDescent="0.25">
      <c r="A65" s="48"/>
      <c r="B65" s="1644" t="str">
        <f>Submittals!H145</f>
        <v>Select the Submission Stage in Project Information</v>
      </c>
      <c r="C65" s="1645"/>
      <c r="D65" s="1645"/>
      <c r="E65" s="1645"/>
      <c r="F65" s="1645"/>
      <c r="G65" s="854" t="s">
        <v>62</v>
      </c>
      <c r="H65" s="1625"/>
      <c r="I65" s="1626"/>
      <c r="J65" s="48"/>
      <c r="K65" s="48"/>
      <c r="L65" s="48"/>
      <c r="M65" s="48"/>
      <c r="N65" s="37" t="str">
        <f>IF(OR(B65="/",B65="No evidence required at this submission stage"),"Yes",IF(G65="Submitted","Yes","No"))</f>
        <v>No</v>
      </c>
    </row>
    <row r="66" spans="1:14" ht="19.5" customHeight="1" x14ac:dyDescent="0.25">
      <c r="A66" s="48"/>
      <c r="B66" s="49"/>
      <c r="C66" s="49"/>
      <c r="D66" s="49"/>
      <c r="E66" s="48"/>
      <c r="F66" s="48"/>
      <c r="G66" s="48"/>
      <c r="H66" s="48"/>
      <c r="I66" s="48"/>
      <c r="J66" s="48"/>
      <c r="K66" s="48"/>
      <c r="L66" s="48"/>
      <c r="M66" s="48"/>
    </row>
    <row r="67" spans="1:14" ht="18" customHeight="1" x14ac:dyDescent="0.25">
      <c r="A67" s="2092" t="s">
        <v>8</v>
      </c>
      <c r="B67" s="2092"/>
      <c r="C67" s="2092"/>
      <c r="D67" s="2092"/>
      <c r="E67" s="2092"/>
      <c r="F67" s="2092"/>
      <c r="G67" s="2092"/>
      <c r="H67" s="2092"/>
      <c r="I67" s="2092"/>
      <c r="J67" s="2092"/>
      <c r="K67" s="2092"/>
      <c r="L67" s="2092"/>
      <c r="M67" s="2092"/>
    </row>
    <row r="68" spans="1:14" ht="15.75" customHeight="1" x14ac:dyDescent="0.25">
      <c r="A68" s="48"/>
      <c r="B68" s="49"/>
      <c r="C68" s="49"/>
      <c r="D68" s="49"/>
      <c r="E68" s="49"/>
      <c r="F68" s="48"/>
      <c r="G68" s="48"/>
      <c r="H68" s="48"/>
      <c r="I68" s="48"/>
      <c r="J68" s="48"/>
      <c r="K68" s="48"/>
      <c r="L68" s="48"/>
      <c r="M68" s="48"/>
    </row>
    <row r="69" spans="1:14" ht="18" customHeight="1" x14ac:dyDescent="0.25">
      <c r="A69" s="48"/>
      <c r="B69" s="115" t="s">
        <v>19</v>
      </c>
      <c r="C69" s="116">
        <f>IF(D59="Yes",1,0)</f>
        <v>0</v>
      </c>
      <c r="D69" s="49"/>
      <c r="E69" s="48"/>
      <c r="F69" s="48"/>
      <c r="G69" s="48"/>
      <c r="H69" s="48"/>
      <c r="I69" s="48"/>
      <c r="J69" s="48"/>
      <c r="K69" s="48"/>
      <c r="L69" s="48"/>
      <c r="M69" s="48"/>
    </row>
    <row r="70" spans="1:14" ht="18" customHeight="1" x14ac:dyDescent="0.25">
      <c r="A70" s="48"/>
      <c r="B70" s="117" t="s">
        <v>151</v>
      </c>
      <c r="C70" s="118" t="str">
        <f>IF(AND(COUNTIF(N64:N65,"Yes")=2,C69&gt;0),"Yes","No")</f>
        <v>No</v>
      </c>
      <c r="D70" s="49"/>
      <c r="E70" s="49"/>
      <c r="F70" s="48"/>
      <c r="G70" s="48"/>
      <c r="H70" s="48"/>
      <c r="I70" s="48"/>
      <c r="J70" s="48"/>
      <c r="K70" s="48"/>
      <c r="L70" s="48"/>
      <c r="M70" s="48"/>
    </row>
    <row r="71" spans="1:14" ht="20.25" customHeight="1" x14ac:dyDescent="0.25">
      <c r="A71" s="48"/>
      <c r="B71" s="49"/>
      <c r="C71" s="49"/>
      <c r="D71" s="49"/>
      <c r="E71" s="49"/>
      <c r="F71" s="48"/>
      <c r="G71" s="48"/>
      <c r="H71" s="48"/>
      <c r="I71" s="48"/>
      <c r="J71" s="48"/>
      <c r="K71" s="48"/>
      <c r="L71" s="48"/>
      <c r="M71" s="48"/>
    </row>
    <row r="72" spans="1:14" hidden="1" x14ac:dyDescent="0.25">
      <c r="J72" s="48"/>
      <c r="K72" s="48"/>
      <c r="L72" s="48"/>
      <c r="M72" s="48"/>
    </row>
    <row r="73" spans="1:14" hidden="1" x14ac:dyDescent="0.25">
      <c r="J73" s="48"/>
      <c r="K73" s="48"/>
      <c r="L73" s="48"/>
      <c r="M73" s="48"/>
    </row>
    <row r="74" spans="1:14" hidden="1" x14ac:dyDescent="0.25">
      <c r="J74" s="48"/>
      <c r="K74" s="48"/>
      <c r="L74" s="48"/>
      <c r="M74" s="48"/>
    </row>
    <row r="75" spans="1:14" hidden="1" x14ac:dyDescent="0.25"/>
    <row r="76" spans="1:14" hidden="1" x14ac:dyDescent="0.25"/>
    <row r="77" spans="1:14" hidden="1" x14ac:dyDescent="0.25"/>
    <row r="78" spans="1:14" hidden="1" x14ac:dyDescent="0.25"/>
    <row r="79" spans="1:14" hidden="1" x14ac:dyDescent="0.25"/>
    <row r="80" spans="1:14"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sheetData>
  <sheetProtection algorithmName="SHA-512" hashValue="DifRKWpsZ8+e09n2Kd0OoXQqRvnwQ9LMtqi6DX4k9AJZaZnN982as0FpLog2vTx2qkqlHpcBZecEsB2d5DttsA==" saltValue="Ptesj/ah+IJWrF8XHulaZg==" spinCount="100000" sheet="1" objects="1" scenarios="1"/>
  <mergeCells count="44">
    <mergeCell ref="F56:H56"/>
    <mergeCell ref="F57:H57"/>
    <mergeCell ref="B54:C54"/>
    <mergeCell ref="D54:E54"/>
    <mergeCell ref="F53:H53"/>
    <mergeCell ref="F54:H54"/>
    <mergeCell ref="B53:C53"/>
    <mergeCell ref="D53:E53"/>
    <mergeCell ref="F55:H55"/>
    <mergeCell ref="B57:C57"/>
    <mergeCell ref="D57:E57"/>
    <mergeCell ref="B55:C55"/>
    <mergeCell ref="D55:E55"/>
    <mergeCell ref="B56:C56"/>
    <mergeCell ref="D56:E56"/>
    <mergeCell ref="B38:H38"/>
    <mergeCell ref="B52:C52"/>
    <mergeCell ref="D52:E52"/>
    <mergeCell ref="B41:H41"/>
    <mergeCell ref="F52:H52"/>
    <mergeCell ref="A61:M61"/>
    <mergeCell ref="A67:M67"/>
    <mergeCell ref="B59:C59"/>
    <mergeCell ref="B16:J16"/>
    <mergeCell ref="B21:C21"/>
    <mergeCell ref="B22:C22"/>
    <mergeCell ref="B45:C45"/>
    <mergeCell ref="B63:F63"/>
    <mergeCell ref="H63:I63"/>
    <mergeCell ref="B64:F64"/>
    <mergeCell ref="B65:F65"/>
    <mergeCell ref="H65:I65"/>
    <mergeCell ref="H64:I64"/>
    <mergeCell ref="B27:H27"/>
    <mergeCell ref="B31:H31"/>
    <mergeCell ref="B34:H34"/>
    <mergeCell ref="B17:J17"/>
    <mergeCell ref="A1:M1"/>
    <mergeCell ref="H2:I4"/>
    <mergeCell ref="A5:M7"/>
    <mergeCell ref="B11:E11"/>
    <mergeCell ref="B12:E12"/>
    <mergeCell ref="A14:M14"/>
    <mergeCell ref="A9:M9"/>
  </mergeCells>
  <conditionalFormatting sqref="B64:B65">
    <cfRule type="expression" dxfId="155" priority="8">
      <formula>#REF!&lt;&gt;"Prescriptive Path"</formula>
    </cfRule>
  </conditionalFormatting>
  <conditionalFormatting sqref="G64:I65">
    <cfRule type="expression" dxfId="154" priority="3">
      <formula>$B64="No evidence required at this submission stage"</formula>
    </cfRule>
    <cfRule type="expression" dxfId="153" priority="4">
      <formula>$B64="/"</formula>
    </cfRule>
  </conditionalFormatting>
  <dataValidations count="2">
    <dataValidation type="list" allowBlank="1" showInputMessage="1" showErrorMessage="1" sqref="G64:G65">
      <formula1>"Select,Submitted,Not submitted"</formula1>
    </dataValidation>
    <dataValidation allowBlank="1" showInputMessage="1" showErrorMessage="1" prompt="All the comfort categories with a satisfaction lower than 3." sqref="B52:C57"/>
  </dataValidations>
  <hyperlinks>
    <hyperlink ref="J4" location="'H-2 CO2 Monitoring'!B3" tooltip="H-2" display="H-2"/>
    <hyperlink ref="J3" location="'H-1 Fresh Air Supply'!B3" tooltip="H-1" display="H-1"/>
    <hyperlink ref="J2" location="'H-PR-1 Indoor Smoking'!B3" tooltip="H-PR-1" display="H-PR-1"/>
    <hyperlink ref="K3" location="'H-4 Removal of pollutants'!B3" tooltip="H-4" display="H-4"/>
    <hyperlink ref="K2" location="'H-3 Low-VOC Emissions '!D3" tooltip="H-3" display="H-3"/>
    <hyperlink ref="L3" location="'H-7 Daylighting'!B3" tooltip="H-7" display="H-7"/>
    <hyperlink ref="M4" location="'H-11 Acoustic Comfort'!B3" tooltip="H-11" display="H-11"/>
    <hyperlink ref="L4" location="'H-8 External Views'!B3" tooltip="H-8" display="H-8"/>
    <hyperlink ref="M3" location="'H-10 Thermal Comfort'!B3" tooltip="H-10" display="H-10"/>
    <hyperlink ref="L2" location="'H-6 Green Cleaning'!B3" tooltip="H-6" display="H-6"/>
    <hyperlink ref="M2" location="'H-9 Lighting Comfort'!B3" tooltip="H-9" display="H-9"/>
    <hyperlink ref="K4" location="'H-5 Interior Plants'!B3" tooltip="H-5" display="H-5"/>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6923C"/>
  </sheetPr>
  <dimension ref="A1:Q62"/>
  <sheetViews>
    <sheetView showRowColHeaders="0" zoomScale="90" zoomScaleNormal="90" workbookViewId="0">
      <selection activeCell="E9" sqref="E9:F9"/>
    </sheetView>
  </sheetViews>
  <sheetFormatPr defaultColWidth="0" defaultRowHeight="0" customHeight="1" zeroHeight="1" x14ac:dyDescent="0.25"/>
  <cols>
    <col min="1" max="1" width="5.7109375" customWidth="1"/>
    <col min="2" max="2" width="34.85546875" customWidth="1"/>
    <col min="3" max="3" width="3.7109375" customWidth="1"/>
    <col min="4" max="4" width="11.140625" customWidth="1"/>
    <col min="5" max="5" width="20.85546875" customWidth="1"/>
    <col min="6" max="6" width="20.5703125" customWidth="1"/>
    <col min="7" max="8" width="19.7109375" customWidth="1"/>
    <col min="9" max="9" width="10.42578125" customWidth="1"/>
    <col min="10" max="10" width="8" customWidth="1"/>
    <col min="11" max="11" width="6" customWidth="1"/>
    <col min="12" max="12" width="3.85546875" customWidth="1"/>
    <col min="13" max="17" width="0" hidden="1" customWidth="1"/>
    <col min="18" max="16384" width="9.140625" hidden="1"/>
  </cols>
  <sheetData>
    <row r="1" spans="1:12" ht="38.25" customHeight="1" x14ac:dyDescent="0.25">
      <c r="A1" s="44"/>
      <c r="B1" s="2311" t="s">
        <v>301</v>
      </c>
      <c r="C1" s="162"/>
      <c r="D1" s="1"/>
      <c r="E1" s="1"/>
      <c r="F1" s="1"/>
      <c r="G1" s="1"/>
      <c r="H1" s="1"/>
      <c r="I1" s="1"/>
      <c r="J1" s="1"/>
      <c r="K1" s="1"/>
      <c r="L1" s="1"/>
    </row>
    <row r="2" spans="1:12" ht="22.5" customHeight="1" x14ac:dyDescent="0.25">
      <c r="A2" s="44"/>
      <c r="B2" s="2311"/>
      <c r="C2" s="162"/>
      <c r="D2" s="1"/>
      <c r="E2" s="1"/>
      <c r="F2" s="1"/>
      <c r="G2" s="1"/>
      <c r="H2" s="1"/>
      <c r="I2" s="1"/>
      <c r="J2" s="1"/>
      <c r="K2" s="1"/>
      <c r="L2" s="1"/>
    </row>
    <row r="3" spans="1:12" ht="15" customHeight="1" x14ac:dyDescent="0.25">
      <c r="A3" s="44"/>
      <c r="B3" s="2311"/>
      <c r="C3" s="162"/>
      <c r="D3" s="1"/>
      <c r="E3" s="2314" t="s">
        <v>355</v>
      </c>
      <c r="F3" s="2315"/>
      <c r="G3" s="2319" t="s">
        <v>360</v>
      </c>
      <c r="H3" s="1"/>
      <c r="I3" s="1"/>
      <c r="J3" s="1"/>
      <c r="K3" s="1"/>
      <c r="L3" s="1"/>
    </row>
    <row r="4" spans="1:12" ht="15" customHeight="1" x14ac:dyDescent="0.25">
      <c r="A4" s="44"/>
      <c r="B4" s="44"/>
      <c r="C4" s="44"/>
      <c r="D4" s="1"/>
      <c r="E4" s="2316"/>
      <c r="F4" s="2317"/>
      <c r="G4" s="2319"/>
      <c r="H4" s="1"/>
      <c r="I4" s="1"/>
      <c r="J4" s="1"/>
      <c r="K4" s="1"/>
      <c r="L4" s="1"/>
    </row>
    <row r="5" spans="1:12" ht="21.75" customHeight="1" x14ac:dyDescent="0.25">
      <c r="A5" s="44"/>
      <c r="B5" s="2318" t="s">
        <v>1774</v>
      </c>
      <c r="C5" s="44"/>
      <c r="D5" s="1"/>
      <c r="E5" s="2312" t="s">
        <v>1044</v>
      </c>
      <c r="F5" s="2313"/>
      <c r="G5" s="623" t="str">
        <f>'LT-3 Green Transportation '!G12</f>
        <v>No</v>
      </c>
      <c r="H5" s="1"/>
      <c r="I5" s="1"/>
      <c r="J5" s="1"/>
      <c r="K5" s="1"/>
      <c r="L5" s="1"/>
    </row>
    <row r="6" spans="1:12" ht="20.25" customHeight="1" x14ac:dyDescent="0.25">
      <c r="A6" s="44"/>
      <c r="B6" s="2318"/>
      <c r="C6" s="44"/>
      <c r="D6" s="1"/>
      <c r="E6" s="1"/>
      <c r="F6" s="1"/>
      <c r="G6" s="1"/>
      <c r="H6" s="1"/>
      <c r="I6" s="1"/>
      <c r="J6" s="1"/>
      <c r="K6" s="1"/>
      <c r="L6" s="1"/>
    </row>
    <row r="7" spans="1:12" ht="14.25" customHeight="1" x14ac:dyDescent="0.25">
      <c r="A7" s="44"/>
      <c r="B7" s="2318"/>
      <c r="C7" s="163"/>
      <c r="D7" s="1"/>
      <c r="E7" s="2314" t="s">
        <v>136</v>
      </c>
      <c r="F7" s="2315"/>
      <c r="G7" s="2319" t="s">
        <v>137</v>
      </c>
      <c r="H7" s="2319" t="s">
        <v>19</v>
      </c>
      <c r="I7" s="1"/>
      <c r="J7" s="1"/>
      <c r="K7" s="1"/>
      <c r="L7" s="1"/>
    </row>
    <row r="8" spans="1:12" ht="14.25" customHeight="1" x14ac:dyDescent="0.25">
      <c r="A8" s="44"/>
      <c r="B8" s="2318"/>
      <c r="C8" s="163"/>
      <c r="D8" s="1"/>
      <c r="E8" s="2316"/>
      <c r="F8" s="2317"/>
      <c r="G8" s="2319"/>
      <c r="H8" s="2319"/>
      <c r="I8" s="1"/>
      <c r="J8" s="1"/>
      <c r="K8" s="1"/>
      <c r="L8" s="1"/>
    </row>
    <row r="9" spans="1:12" ht="21.75" customHeight="1" x14ac:dyDescent="0.25">
      <c r="A9" s="44"/>
      <c r="B9" s="2318"/>
      <c r="C9" s="163"/>
      <c r="D9" s="1"/>
      <c r="E9" s="2312" t="s">
        <v>2031</v>
      </c>
      <c r="F9" s="2313"/>
      <c r="G9" s="104">
        <v>3</v>
      </c>
      <c r="H9" s="104">
        <f>'LT-1 Base building '!N15</f>
        <v>0</v>
      </c>
      <c r="I9" s="1"/>
      <c r="J9" s="1"/>
      <c r="K9" s="1"/>
      <c r="L9" s="1"/>
    </row>
    <row r="10" spans="1:12" ht="21.75" customHeight="1" x14ac:dyDescent="0.25">
      <c r="A10" s="91"/>
      <c r="B10" s="2318"/>
      <c r="C10" s="163"/>
      <c r="D10" s="1"/>
      <c r="E10" s="2312" t="s">
        <v>571</v>
      </c>
      <c r="F10" s="2313"/>
      <c r="G10" s="104">
        <v>1</v>
      </c>
      <c r="H10" s="104">
        <f>'LT-2 Tenancy lease'!N15</f>
        <v>0</v>
      </c>
      <c r="I10" s="1"/>
      <c r="J10" s="1"/>
      <c r="K10" s="1"/>
      <c r="L10" s="1"/>
    </row>
    <row r="11" spans="1:12" ht="21.75" customHeight="1" x14ac:dyDescent="0.25">
      <c r="A11" s="91"/>
      <c r="B11" s="2318"/>
      <c r="C11" s="163"/>
      <c r="D11" s="1"/>
      <c r="E11" s="2312" t="s">
        <v>1046</v>
      </c>
      <c r="F11" s="2313"/>
      <c r="G11" s="104">
        <v>3</v>
      </c>
      <c r="H11" s="104">
        <f>'LT-3 Green Transportation '!G20</f>
        <v>0</v>
      </c>
      <c r="I11" s="3"/>
      <c r="J11" s="3"/>
      <c r="K11" s="3"/>
      <c r="L11" s="3"/>
    </row>
    <row r="12" spans="1:12" ht="23.25" customHeight="1" x14ac:dyDescent="0.25">
      <c r="A12" s="91"/>
      <c r="B12" s="2318"/>
      <c r="C12" s="143"/>
      <c r="D12" s="1"/>
      <c r="E12" s="2312" t="s">
        <v>1045</v>
      </c>
      <c r="F12" s="2313"/>
      <c r="G12" s="104">
        <v>1</v>
      </c>
      <c r="H12" s="104">
        <f>'LT-4 Facilities and amenities '!G12</f>
        <v>0</v>
      </c>
      <c r="I12" s="1"/>
      <c r="J12" s="1"/>
      <c r="K12" s="1"/>
      <c r="L12" s="1"/>
    </row>
    <row r="13" spans="1:12" ht="28.5" customHeight="1" x14ac:dyDescent="0.25">
      <c r="A13" s="91"/>
      <c r="B13" s="143"/>
      <c r="C13" s="143"/>
      <c r="D13" s="1"/>
      <c r="E13" s="92" t="s">
        <v>29</v>
      </c>
      <c r="F13" s="93"/>
      <c r="G13" s="94">
        <f>SUM(G9:G12)</f>
        <v>8</v>
      </c>
      <c r="H13" s="94">
        <f>SUM(H9:H12)</f>
        <v>0</v>
      </c>
      <c r="I13" s="1"/>
      <c r="J13" s="1"/>
      <c r="K13" s="1"/>
      <c r="L13" s="1"/>
    </row>
    <row r="14" spans="1:12" ht="15" customHeight="1" x14ac:dyDescent="0.25">
      <c r="A14" s="91"/>
      <c r="B14" s="143"/>
      <c r="C14" s="143"/>
      <c r="D14" s="1"/>
      <c r="E14" s="1"/>
      <c r="F14" s="1"/>
      <c r="G14" s="1"/>
      <c r="H14" s="1"/>
      <c r="I14" s="1"/>
      <c r="J14" s="1"/>
      <c r="K14" s="1"/>
      <c r="L14" s="1"/>
    </row>
    <row r="15" spans="1:12" ht="15" customHeight="1" x14ac:dyDescent="0.25">
      <c r="A15" s="91"/>
      <c r="B15" s="143"/>
      <c r="C15" s="143"/>
      <c r="D15" s="1"/>
      <c r="E15" s="1"/>
      <c r="F15" s="1"/>
      <c r="G15" s="1"/>
      <c r="H15" s="1"/>
      <c r="I15" s="1"/>
      <c r="J15" s="1"/>
      <c r="K15" s="1"/>
      <c r="L15" s="1"/>
    </row>
    <row r="16" spans="1:12" ht="15" hidden="1" customHeight="1" x14ac:dyDescent="0.25">
      <c r="A16" s="91"/>
      <c r="B16" s="143"/>
      <c r="C16" s="143"/>
      <c r="D16" s="1"/>
      <c r="E16" s="1"/>
      <c r="F16" s="1"/>
      <c r="G16" s="1"/>
      <c r="H16" s="1"/>
      <c r="I16" s="1"/>
      <c r="J16" s="1"/>
      <c r="K16" s="1"/>
      <c r="L16" s="1"/>
    </row>
    <row r="17" spans="1:12" ht="15" hidden="1" customHeight="1" x14ac:dyDescent="0.25">
      <c r="A17" s="91"/>
      <c r="B17" s="143"/>
      <c r="C17" s="143"/>
      <c r="D17" s="1"/>
      <c r="E17" s="1"/>
      <c r="F17" s="1"/>
      <c r="G17" s="1"/>
      <c r="H17" s="1"/>
      <c r="I17" s="1"/>
      <c r="J17" s="1"/>
      <c r="K17" s="1"/>
      <c r="L17" s="1"/>
    </row>
    <row r="18" spans="1:12" ht="15" hidden="1" customHeight="1" x14ac:dyDescent="0.25">
      <c r="A18" s="91"/>
      <c r="B18" s="143"/>
      <c r="C18" s="143"/>
      <c r="D18" s="1"/>
      <c r="E18" s="1"/>
      <c r="F18" s="1"/>
      <c r="G18" s="1"/>
      <c r="H18" s="1"/>
      <c r="I18" s="1"/>
      <c r="J18" s="1"/>
      <c r="K18" s="1"/>
      <c r="L18" s="1"/>
    </row>
    <row r="19" spans="1:12" ht="15" hidden="1" customHeight="1" x14ac:dyDescent="0.25">
      <c r="A19" s="91"/>
      <c r="B19" s="143"/>
      <c r="C19" s="143"/>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D46" s="1"/>
      <c r="E46" s="1"/>
      <c r="F46" s="1"/>
      <c r="G46" s="1"/>
      <c r="H46" s="1"/>
      <c r="I46" s="1"/>
    </row>
    <row r="47" spans="1:12" ht="15" hidden="1" customHeight="1" x14ac:dyDescent="0.25">
      <c r="D47" s="1"/>
      <c r="E47" s="1"/>
      <c r="F47" s="1"/>
      <c r="G47" s="1"/>
      <c r="H47" s="1"/>
      <c r="I47" s="1"/>
    </row>
    <row r="48" spans="1:12" ht="15" hidden="1" customHeight="1" x14ac:dyDescent="0.25">
      <c r="D48" s="1"/>
      <c r="I48" s="1"/>
    </row>
    <row r="49" spans="4:9" ht="15" hidden="1" customHeight="1" x14ac:dyDescent="0.25">
      <c r="D49" s="1"/>
      <c r="I49" s="1"/>
    </row>
    <row r="50" spans="4:9" ht="15" hidden="1" customHeight="1" x14ac:dyDescent="0.25"/>
    <row r="51" spans="4:9" ht="15" hidden="1" customHeight="1" x14ac:dyDescent="0.25"/>
    <row r="52" spans="4:9" ht="15" hidden="1" customHeight="1" x14ac:dyDescent="0.25"/>
    <row r="53" spans="4:9" ht="15" hidden="1" customHeight="1" x14ac:dyDescent="0.25"/>
    <row r="54" spans="4:9" ht="15" hidden="1" customHeight="1" x14ac:dyDescent="0.25"/>
    <row r="55" spans="4:9" ht="15" hidden="1" customHeight="1" x14ac:dyDescent="0.25"/>
    <row r="56" spans="4:9" ht="15" hidden="1" customHeight="1" x14ac:dyDescent="0.25"/>
    <row r="57" spans="4:9" ht="0" hidden="1" customHeight="1" x14ac:dyDescent="0.25"/>
    <row r="58" spans="4:9" ht="0" hidden="1" customHeight="1" x14ac:dyDescent="0.25"/>
    <row r="59" spans="4:9" ht="0" hidden="1" customHeight="1" x14ac:dyDescent="0.25"/>
    <row r="60" spans="4:9" ht="0" hidden="1" customHeight="1" x14ac:dyDescent="0.25"/>
    <row r="61" spans="4:9" ht="0" hidden="1" customHeight="1" x14ac:dyDescent="0.25"/>
    <row r="62" spans="4:9" ht="0" hidden="1" customHeight="1" x14ac:dyDescent="0.25"/>
  </sheetData>
  <sheetProtection algorithmName="SHA-512" hashValue="04wCBbcwqISmARwqYWwB/FBy0MjW+kJ6BKn18Y59vxwLrZEmJYs0jHHOtt/iKOIkJWPTOZtr8wdD9i/xMOGx8A==" saltValue="tj3b3V16WovOUwpdoxrnkA==" spinCount="100000" sheet="1" objects="1" scenarios="1"/>
  <mergeCells count="12">
    <mergeCell ref="G7:G8"/>
    <mergeCell ref="H7:H8"/>
    <mergeCell ref="E10:F10"/>
    <mergeCell ref="E11:F11"/>
    <mergeCell ref="G3:G4"/>
    <mergeCell ref="B1:B3"/>
    <mergeCell ref="E5:F5"/>
    <mergeCell ref="E9:F9"/>
    <mergeCell ref="E7:F8"/>
    <mergeCell ref="B5:B12"/>
    <mergeCell ref="E12:F12"/>
    <mergeCell ref="E3:F4"/>
  </mergeCells>
  <hyperlinks>
    <hyperlink ref="E10:F10" location="'LT-2 Tenancy lease'!B3" tooltip="LT-2 Tenancy lease" display="LT-2 Tenancy lease"/>
    <hyperlink ref="E12:F12" location="'LT-4 Facilities and amenities '!B3" tooltip="LT-4 Facilities and amenities " display="LT-4 Facilities and amenities "/>
    <hyperlink ref="E11:F11" location="'LT-3 Green Transportation '!B3" tooltip="LT-3 Green Transportation " display="LT-3 Green Transportation "/>
    <hyperlink ref="E9:F9" location="'LT-1 Base building '!B3" tooltip="LT-1 Base building green attributes" display="LT-1 Base building green attributes"/>
    <hyperlink ref="E5:F5" location="'LT-3 Green Transportation '!B3" tooltip="LT-PR-1 Green Transportation " display="LT-PR-1 Green Transportation "/>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6923C"/>
  </sheetPr>
  <dimension ref="A1:P171"/>
  <sheetViews>
    <sheetView showRowColHeaders="0" workbookViewId="0">
      <pane ySplit="8" topLeftCell="A9" activePane="bottomLeft" state="frozen"/>
      <selection activeCell="I2" sqref="I2:J4"/>
      <selection pane="bottomLeft" sqref="A1:M1"/>
    </sheetView>
  </sheetViews>
  <sheetFormatPr defaultColWidth="0" defaultRowHeight="15" customHeight="1" zeroHeight="1" x14ac:dyDescent="0.25"/>
  <cols>
    <col min="1" max="1" width="3.7109375" style="37" customWidth="1"/>
    <col min="2" max="2" width="18.42578125" style="37" customWidth="1"/>
    <col min="3" max="3" width="18.7109375" style="37" customWidth="1"/>
    <col min="4" max="5" width="18.42578125" style="37" customWidth="1"/>
    <col min="6" max="6" width="18.5703125" style="37" customWidth="1"/>
    <col min="7" max="7" width="21" style="37" customWidth="1"/>
    <col min="8" max="8" width="22" style="37" customWidth="1"/>
    <col min="9" max="13" width="8.7109375" style="37" customWidth="1"/>
    <col min="14" max="14" width="9.140625" style="37" hidden="1" customWidth="1"/>
    <col min="15" max="15" width="23.7109375" style="37" hidden="1" customWidth="1"/>
    <col min="16" max="16" width="15.28515625" style="37" hidden="1" customWidth="1"/>
    <col min="17" max="16384" width="9.140625" style="37" hidden="1"/>
  </cols>
  <sheetData>
    <row r="1" spans="1:14" ht="23.25" x14ac:dyDescent="0.25">
      <c r="A1" s="2341" t="s">
        <v>2031</v>
      </c>
      <c r="B1" s="2341"/>
      <c r="C1" s="2341"/>
      <c r="D1" s="2341"/>
      <c r="E1" s="2341"/>
      <c r="F1" s="2341"/>
      <c r="G1" s="2341"/>
      <c r="H1" s="2341"/>
      <c r="I1" s="2341"/>
      <c r="J1" s="2341"/>
      <c r="K1" s="2341"/>
      <c r="L1" s="2341"/>
      <c r="M1" s="2341"/>
    </row>
    <row r="2" spans="1:14" ht="15" customHeight="1" x14ac:dyDescent="0.25">
      <c r="A2" s="48"/>
      <c r="B2" s="49"/>
      <c r="C2" s="49"/>
      <c r="D2" s="49"/>
      <c r="E2" s="49"/>
      <c r="F2" s="48"/>
      <c r="G2" s="48"/>
      <c r="H2" s="48"/>
      <c r="I2" s="1694" t="s">
        <v>357</v>
      </c>
      <c r="J2" s="1694"/>
      <c r="K2" s="1694"/>
      <c r="L2" s="1694"/>
      <c r="M2" s="141" t="s">
        <v>346</v>
      </c>
    </row>
    <row r="3" spans="1:14" ht="15" customHeight="1" x14ac:dyDescent="0.25">
      <c r="A3" s="48"/>
      <c r="B3" s="49"/>
      <c r="C3" s="49"/>
      <c r="D3" s="49"/>
      <c r="E3" s="49"/>
      <c r="F3" s="48"/>
      <c r="G3" s="48"/>
      <c r="H3" s="48"/>
      <c r="I3" s="1694"/>
      <c r="J3" s="1694"/>
      <c r="K3" s="1694"/>
      <c r="L3" s="1694"/>
      <c r="M3" s="141" t="s">
        <v>347</v>
      </c>
    </row>
    <row r="4" spans="1:14" ht="15" customHeight="1" x14ac:dyDescent="0.25">
      <c r="A4" s="48"/>
      <c r="B4" s="49"/>
      <c r="C4" s="49"/>
      <c r="D4" s="49"/>
      <c r="E4" s="49"/>
      <c r="F4" s="48"/>
      <c r="G4" s="48"/>
      <c r="H4" s="48"/>
      <c r="I4" s="2320"/>
      <c r="J4" s="2320"/>
      <c r="K4" s="2320"/>
      <c r="L4" s="2320"/>
      <c r="M4" s="141" t="s">
        <v>348</v>
      </c>
    </row>
    <row r="5" spans="1:14" ht="21" customHeight="1" x14ac:dyDescent="0.25">
      <c r="A5" s="2321" t="s">
        <v>2844</v>
      </c>
      <c r="B5" s="2322"/>
      <c r="C5" s="2322"/>
      <c r="D5" s="2322"/>
      <c r="E5" s="2322"/>
      <c r="F5" s="2322"/>
      <c r="G5" s="2322"/>
      <c r="H5" s="2322"/>
      <c r="I5" s="2322"/>
      <c r="J5" s="2322"/>
      <c r="K5" s="2322"/>
      <c r="L5" s="2322"/>
      <c r="M5" s="2323"/>
    </row>
    <row r="6" spans="1:14" ht="21" customHeight="1" x14ac:dyDescent="0.25">
      <c r="A6" s="2324"/>
      <c r="B6" s="1708"/>
      <c r="C6" s="1708"/>
      <c r="D6" s="1708"/>
      <c r="E6" s="1708"/>
      <c r="F6" s="1708"/>
      <c r="G6" s="1708"/>
      <c r="H6" s="1708"/>
      <c r="I6" s="1708"/>
      <c r="J6" s="1708"/>
      <c r="K6" s="1708"/>
      <c r="L6" s="1708"/>
      <c r="M6" s="2325"/>
    </row>
    <row r="7" spans="1:14" ht="21" customHeight="1" x14ac:dyDescent="0.25">
      <c r="A7" s="2326"/>
      <c r="B7" s="2327"/>
      <c r="C7" s="2327"/>
      <c r="D7" s="2327"/>
      <c r="E7" s="2327"/>
      <c r="F7" s="2327"/>
      <c r="G7" s="2327"/>
      <c r="H7" s="2327"/>
      <c r="I7" s="2327"/>
      <c r="J7" s="2327"/>
      <c r="K7" s="2327"/>
      <c r="L7" s="2327"/>
      <c r="M7" s="2328"/>
    </row>
    <row r="8" spans="1:14" ht="12" customHeight="1" x14ac:dyDescent="0.25">
      <c r="A8" s="49"/>
      <c r="B8" s="49"/>
      <c r="C8" s="49"/>
      <c r="D8" s="49"/>
      <c r="E8" s="49"/>
      <c r="F8" s="48"/>
      <c r="G8" s="48"/>
      <c r="H8" s="48"/>
      <c r="I8" s="48"/>
      <c r="J8" s="48"/>
      <c r="K8" s="48"/>
      <c r="L8" s="48"/>
      <c r="M8" s="48"/>
    </row>
    <row r="9" spans="1:14" ht="18" customHeight="1" x14ac:dyDescent="0.25">
      <c r="A9" s="2331" t="s">
        <v>95</v>
      </c>
      <c r="B9" s="2331"/>
      <c r="C9" s="2331"/>
      <c r="D9" s="2331"/>
      <c r="E9" s="2331"/>
      <c r="F9" s="2331"/>
      <c r="G9" s="2331"/>
      <c r="H9" s="2331"/>
      <c r="I9" s="2331"/>
      <c r="J9" s="2331"/>
      <c r="K9" s="2331"/>
      <c r="L9" s="2331"/>
      <c r="M9" s="2331"/>
    </row>
    <row r="10" spans="1:14" x14ac:dyDescent="0.25">
      <c r="A10" s="48"/>
      <c r="B10" s="49"/>
      <c r="C10" s="49"/>
      <c r="D10" s="49"/>
      <c r="E10" s="49"/>
      <c r="F10" s="48"/>
      <c r="G10" s="48"/>
      <c r="H10" s="48"/>
      <c r="I10" s="48"/>
      <c r="J10" s="48"/>
      <c r="K10" s="48"/>
      <c r="L10" s="48"/>
      <c r="M10" s="48"/>
    </row>
    <row r="11" spans="1:14" x14ac:dyDescent="0.25">
      <c r="A11" s="48"/>
      <c r="B11" s="2139" t="s">
        <v>114</v>
      </c>
      <c r="C11" s="2342"/>
      <c r="D11" s="2343" t="s">
        <v>62</v>
      </c>
      <c r="E11" s="2344"/>
      <c r="F11" s="2345"/>
      <c r="G11" s="48"/>
      <c r="H11" s="48"/>
      <c r="I11" s="48"/>
      <c r="J11" s="48"/>
      <c r="K11" s="48"/>
      <c r="L11" s="48"/>
      <c r="M11" s="48"/>
    </row>
    <row r="12" spans="1:14" x14ac:dyDescent="0.25">
      <c r="A12" s="48"/>
      <c r="B12" s="49"/>
      <c r="C12" s="49"/>
      <c r="D12" s="49"/>
      <c r="E12" s="49"/>
      <c r="F12" s="48"/>
      <c r="G12" s="48"/>
      <c r="H12" s="48"/>
      <c r="I12" s="48"/>
      <c r="J12" s="48"/>
      <c r="K12" s="48"/>
      <c r="L12" s="48"/>
      <c r="M12" s="48"/>
    </row>
    <row r="13" spans="1:14" ht="21" customHeight="1" x14ac:dyDescent="0.25">
      <c r="A13" s="48"/>
      <c r="B13" s="2329" t="s">
        <v>96</v>
      </c>
      <c r="C13" s="2330"/>
      <c r="D13" s="2330"/>
      <c r="E13" s="2330"/>
      <c r="F13" s="539" t="s">
        <v>75</v>
      </c>
      <c r="G13" s="539" t="s">
        <v>19</v>
      </c>
      <c r="H13" s="54" t="s">
        <v>151</v>
      </c>
      <c r="I13" s="48"/>
      <c r="J13" s="48"/>
      <c r="K13" s="48"/>
      <c r="L13" s="48"/>
      <c r="M13" s="48"/>
    </row>
    <row r="14" spans="1:14" ht="64.5" customHeight="1" x14ac:dyDescent="0.25">
      <c r="A14" s="48"/>
      <c r="B14" s="1742" t="s">
        <v>2855</v>
      </c>
      <c r="C14" s="1743"/>
      <c r="D14" s="1743"/>
      <c r="E14" s="1744"/>
      <c r="F14" s="320">
        <v>3</v>
      </c>
      <c r="G14" s="320" t="str">
        <f>IF(D11="Option A: LOTUS Certified base building",C42,"/")</f>
        <v>/</v>
      </c>
      <c r="H14" s="320" t="str">
        <f>IF(D11="Option A: LOTUS Certified base building",C43,"/")</f>
        <v>/</v>
      </c>
      <c r="I14" s="48"/>
      <c r="J14" s="48"/>
      <c r="K14" s="938"/>
      <c r="L14" s="48"/>
      <c r="M14" s="48"/>
    </row>
    <row r="15" spans="1:14" ht="40.5" customHeight="1" x14ac:dyDescent="0.25">
      <c r="A15" s="48"/>
      <c r="B15" s="1742" t="s">
        <v>2027</v>
      </c>
      <c r="C15" s="1743"/>
      <c r="D15" s="1743"/>
      <c r="E15" s="1744"/>
      <c r="F15" s="320">
        <v>2</v>
      </c>
      <c r="G15" s="320" t="str">
        <f>IF(D11="Option B: Base building with green attributes",C74,"/")</f>
        <v>/</v>
      </c>
      <c r="H15" s="320" t="str">
        <f>IF(D11="Option B: Base building with green attributes",C75,"/")</f>
        <v>/</v>
      </c>
      <c r="I15" s="48"/>
      <c r="J15" s="48"/>
      <c r="K15" s="48"/>
      <c r="L15" s="48"/>
      <c r="M15" s="48"/>
      <c r="N15" s="37">
        <f>IF(D11="Option A: LOTUS Certified base building",C42,0)+IF(D11="Option B: Base building with green attributes",C74,0)</f>
        <v>0</v>
      </c>
    </row>
    <row r="16" spans="1:14" ht="9.75" customHeight="1" x14ac:dyDescent="0.25">
      <c r="A16" s="48"/>
      <c r="B16" s="48"/>
      <c r="C16" s="48"/>
      <c r="D16" s="48"/>
      <c r="E16" s="48"/>
      <c r="F16" s="48"/>
      <c r="G16" s="48"/>
      <c r="H16" s="48"/>
      <c r="I16" s="48"/>
      <c r="J16" s="48"/>
      <c r="K16" s="48"/>
      <c r="L16" s="48"/>
      <c r="M16" s="48"/>
    </row>
    <row r="17" spans="1:14" ht="9.75" customHeight="1" x14ac:dyDescent="0.25">
      <c r="A17" s="48"/>
      <c r="B17" s="49"/>
      <c r="C17" s="49"/>
      <c r="D17" s="49"/>
      <c r="E17" s="49"/>
      <c r="F17" s="48"/>
      <c r="G17" s="48"/>
      <c r="H17" s="48"/>
      <c r="I17" s="48"/>
      <c r="J17" s="48"/>
      <c r="K17" s="48"/>
      <c r="L17" s="48"/>
      <c r="M17" s="48"/>
    </row>
    <row r="18" spans="1:14" ht="18" customHeight="1" x14ac:dyDescent="0.25">
      <c r="A18" s="2331" t="s">
        <v>2854</v>
      </c>
      <c r="B18" s="2331"/>
      <c r="C18" s="2331"/>
      <c r="D18" s="2331"/>
      <c r="E18" s="2331"/>
      <c r="F18" s="2331"/>
      <c r="G18" s="2331"/>
      <c r="H18" s="2331"/>
      <c r="I18" s="2331"/>
      <c r="J18" s="2331"/>
      <c r="K18" s="2331"/>
      <c r="L18" s="2331"/>
      <c r="M18" s="2331"/>
    </row>
    <row r="19" spans="1:14" x14ac:dyDescent="0.25">
      <c r="A19" s="48"/>
      <c r="B19" s="49"/>
      <c r="C19" s="49"/>
      <c r="D19" s="49"/>
      <c r="E19" s="49"/>
      <c r="F19" s="48"/>
      <c r="G19" s="48"/>
      <c r="H19" s="48"/>
      <c r="I19" s="48"/>
      <c r="J19" s="48"/>
      <c r="K19" s="48"/>
      <c r="L19" s="48"/>
      <c r="M19" s="48"/>
    </row>
    <row r="20" spans="1:14" ht="16.5" customHeight="1" x14ac:dyDescent="0.25">
      <c r="A20" s="2338" t="s">
        <v>117</v>
      </c>
      <c r="B20" s="2338"/>
      <c r="C20" s="2338"/>
      <c r="D20" s="49"/>
      <c r="E20" s="49"/>
      <c r="F20" s="49"/>
      <c r="G20" s="49"/>
      <c r="H20" s="49"/>
      <c r="I20" s="49"/>
      <c r="J20" s="49"/>
      <c r="K20" s="49"/>
      <c r="L20" s="49"/>
      <c r="M20" s="49"/>
      <c r="N20" s="49"/>
    </row>
    <row r="21" spans="1:14" ht="13.5" customHeight="1" x14ac:dyDescent="0.25">
      <c r="A21" s="48"/>
      <c r="B21" s="49"/>
      <c r="C21" s="49"/>
      <c r="D21" s="49"/>
      <c r="E21" s="48"/>
      <c r="F21" s="48"/>
      <c r="G21" s="48"/>
      <c r="H21" s="48"/>
      <c r="I21" s="48"/>
      <c r="J21" s="48"/>
      <c r="K21" s="48"/>
      <c r="L21" s="48"/>
      <c r="M21" s="48"/>
      <c r="N21" s="48"/>
    </row>
    <row r="22" spans="1:14" x14ac:dyDescent="0.25">
      <c r="A22" s="48"/>
      <c r="B22" s="708" t="s">
        <v>2062</v>
      </c>
      <c r="C22" s="49"/>
      <c r="D22" s="49"/>
      <c r="E22" s="49"/>
      <c r="F22" s="48"/>
      <c r="G22" s="48"/>
      <c r="H22" s="48"/>
      <c r="I22" s="48"/>
      <c r="J22" s="48"/>
      <c r="K22" s="48"/>
      <c r="L22" s="48"/>
      <c r="M22" s="48"/>
    </row>
    <row r="23" spans="1:14" ht="21" customHeight="1" x14ac:dyDescent="0.25">
      <c r="A23" s="48"/>
      <c r="B23" s="49"/>
      <c r="C23" s="49"/>
      <c r="D23" s="49"/>
      <c r="E23" s="49"/>
      <c r="F23" s="48"/>
      <c r="G23" s="48"/>
      <c r="H23" s="48"/>
      <c r="I23" s="48"/>
      <c r="J23" s="48"/>
      <c r="K23" s="48"/>
      <c r="L23" s="48"/>
      <c r="M23" s="48"/>
    </row>
    <row r="24" spans="1:14" x14ac:dyDescent="0.25">
      <c r="A24" s="48"/>
      <c r="B24" s="671" t="s">
        <v>2035</v>
      </c>
      <c r="C24" s="49"/>
      <c r="D24" s="49"/>
      <c r="E24" s="49"/>
      <c r="F24" s="48"/>
      <c r="G24" s="48"/>
      <c r="H24" s="48"/>
      <c r="I24" s="48"/>
      <c r="J24" s="48"/>
      <c r="K24" s="48"/>
      <c r="L24" s="48"/>
      <c r="M24" s="48"/>
    </row>
    <row r="25" spans="1:14" x14ac:dyDescent="0.25">
      <c r="A25" s="48"/>
      <c r="B25" s="614"/>
      <c r="C25" s="49"/>
      <c r="D25" s="49"/>
      <c r="E25" s="49"/>
      <c r="F25" s="48"/>
      <c r="G25" s="48"/>
      <c r="H25" s="48"/>
      <c r="I25" s="48"/>
      <c r="J25" s="48"/>
      <c r="K25" s="48"/>
      <c r="L25" s="48"/>
      <c r="M25" s="48"/>
    </row>
    <row r="26" spans="1:14" ht="18" customHeight="1" x14ac:dyDescent="0.25">
      <c r="A26" s="48"/>
      <c r="B26" s="1620" t="s">
        <v>1341</v>
      </c>
      <c r="C26" s="1620"/>
      <c r="D26" s="1620"/>
      <c r="E26" s="619" t="s">
        <v>62</v>
      </c>
      <c r="F26" s="49"/>
      <c r="G26" s="48"/>
      <c r="H26" s="48"/>
      <c r="I26" s="48"/>
      <c r="J26" s="48"/>
      <c r="K26" s="48"/>
      <c r="L26" s="48"/>
      <c r="M26" s="48"/>
      <c r="N26" s="71"/>
    </row>
    <row r="27" spans="1:14" ht="18" customHeight="1" x14ac:dyDescent="0.25">
      <c r="A27" s="48"/>
      <c r="B27" s="1620" t="s">
        <v>2033</v>
      </c>
      <c r="C27" s="1620"/>
      <c r="D27" s="1620"/>
      <c r="E27" s="1107" t="s">
        <v>62</v>
      </c>
      <c r="F27" s="49"/>
      <c r="G27" s="48"/>
      <c r="H27" s="48"/>
      <c r="I27" s="48"/>
      <c r="J27" s="48"/>
      <c r="K27" s="48"/>
      <c r="L27" s="48"/>
      <c r="M27" s="48"/>
      <c r="N27" s="71"/>
    </row>
    <row r="28" spans="1:14" x14ac:dyDescent="0.25">
      <c r="A28" s="48"/>
      <c r="B28" s="668"/>
      <c r="C28" s="668"/>
      <c r="D28" s="48"/>
      <c r="E28" s="48"/>
      <c r="F28" s="48"/>
      <c r="G28" s="48"/>
      <c r="H28" s="48"/>
      <c r="I28" s="48"/>
      <c r="J28" s="48"/>
      <c r="K28" s="48"/>
      <c r="L28" s="48"/>
      <c r="M28" s="48"/>
    </row>
    <row r="29" spans="1:14" ht="18" customHeight="1" x14ac:dyDescent="0.25">
      <c r="A29" s="48"/>
      <c r="B29" s="2332" t="s">
        <v>1022</v>
      </c>
      <c r="C29" s="2333"/>
      <c r="D29" s="1625"/>
      <c r="E29" s="1662"/>
      <c r="F29" s="667"/>
      <c r="G29" s="48"/>
      <c r="H29" s="48"/>
      <c r="I29" s="48"/>
      <c r="J29" s="48"/>
      <c r="K29" s="48"/>
      <c r="L29" s="48"/>
      <c r="M29" s="48"/>
    </row>
    <row r="30" spans="1:14" ht="18" customHeight="1" x14ac:dyDescent="0.25">
      <c r="A30" s="48"/>
      <c r="B30" s="2332" t="s">
        <v>2034</v>
      </c>
      <c r="C30" s="2333"/>
      <c r="D30" s="1625"/>
      <c r="E30" s="1662"/>
      <c r="F30" s="48"/>
      <c r="G30" s="48"/>
      <c r="H30" s="48"/>
      <c r="I30" s="48"/>
      <c r="J30" s="48"/>
      <c r="K30" s="48"/>
      <c r="L30" s="48"/>
      <c r="M30" s="48"/>
    </row>
    <row r="31" spans="1:14" ht="18" customHeight="1" x14ac:dyDescent="0.25">
      <c r="A31" s="48"/>
      <c r="B31" s="2332" t="s">
        <v>175</v>
      </c>
      <c r="C31" s="2333"/>
      <c r="D31" s="1625"/>
      <c r="E31" s="1662"/>
      <c r="F31" s="48"/>
      <c r="G31" s="48"/>
      <c r="H31" s="48"/>
      <c r="I31" s="48"/>
      <c r="J31" s="48"/>
      <c r="K31" s="48"/>
      <c r="L31" s="48"/>
      <c r="M31" s="48"/>
    </row>
    <row r="32" spans="1:14" ht="19.5" customHeight="1" x14ac:dyDescent="0.25">
      <c r="A32" s="48"/>
      <c r="B32" s="48" t="s">
        <v>2036</v>
      </c>
      <c r="C32" s="49"/>
      <c r="D32" s="49"/>
      <c r="E32" s="49"/>
      <c r="F32" s="48"/>
      <c r="G32" s="48"/>
      <c r="H32" s="48"/>
      <c r="I32" s="48"/>
      <c r="J32" s="48"/>
      <c r="K32" s="48"/>
      <c r="L32" s="48"/>
      <c r="M32" s="48"/>
    </row>
    <row r="33" spans="1:14" ht="19.5" customHeight="1" x14ac:dyDescent="0.25">
      <c r="A33" s="48"/>
      <c r="B33" s="2332" t="s">
        <v>2037</v>
      </c>
      <c r="C33" s="2333"/>
      <c r="D33" s="1625" t="s">
        <v>62</v>
      </c>
      <c r="E33" s="1662"/>
      <c r="F33" s="48"/>
      <c r="G33" s="48"/>
      <c r="H33" s="48"/>
      <c r="I33" s="48"/>
      <c r="J33" s="48"/>
      <c r="K33" s="48"/>
      <c r="L33" s="48"/>
      <c r="M33" s="48"/>
    </row>
    <row r="34" spans="1:14" ht="19.5" customHeight="1" x14ac:dyDescent="0.25">
      <c r="A34" s="48"/>
      <c r="B34" s="49"/>
      <c r="C34" s="49"/>
      <c r="D34" s="49"/>
      <c r="E34" s="49"/>
      <c r="F34" s="48"/>
      <c r="G34" s="48"/>
      <c r="H34" s="48"/>
      <c r="I34" s="48"/>
      <c r="J34" s="48"/>
      <c r="K34" s="48"/>
      <c r="L34" s="48"/>
      <c r="M34" s="48"/>
    </row>
    <row r="35" spans="1:14" ht="16.5" customHeight="1" x14ac:dyDescent="0.25">
      <c r="A35" s="2338" t="s">
        <v>97</v>
      </c>
      <c r="B35" s="2338"/>
      <c r="C35" s="2338"/>
      <c r="D35" s="49"/>
      <c r="E35" s="49"/>
      <c r="F35" s="49"/>
      <c r="G35" s="49"/>
      <c r="H35" s="49"/>
      <c r="I35" s="49"/>
      <c r="J35" s="49"/>
      <c r="K35" s="49"/>
      <c r="L35" s="49"/>
      <c r="M35" s="49"/>
      <c r="N35" s="49"/>
    </row>
    <row r="36" spans="1:14" x14ac:dyDescent="0.25">
      <c r="A36" s="48"/>
      <c r="B36" s="49"/>
      <c r="C36" s="49"/>
      <c r="D36" s="49"/>
      <c r="E36" s="48"/>
      <c r="F36" s="48"/>
      <c r="G36" s="48"/>
      <c r="H36" s="48"/>
      <c r="I36" s="48"/>
      <c r="J36" s="48"/>
      <c r="K36" s="48"/>
      <c r="L36" s="48"/>
      <c r="M36" s="48"/>
      <c r="N36" s="48"/>
    </row>
    <row r="37" spans="1:14" ht="21" customHeight="1" x14ac:dyDescent="0.25">
      <c r="A37" s="48"/>
      <c r="B37" s="2334" t="s">
        <v>98</v>
      </c>
      <c r="C37" s="2335"/>
      <c r="D37" s="2335"/>
      <c r="E37" s="2335"/>
      <c r="F37" s="2335"/>
      <c r="G37" s="1113" t="s">
        <v>1297</v>
      </c>
      <c r="H37" s="2336" t="s">
        <v>1298</v>
      </c>
      <c r="I37" s="2337"/>
      <c r="J37" s="48"/>
      <c r="K37" s="48"/>
      <c r="L37" s="48"/>
      <c r="M37" s="48"/>
      <c r="N37" s="48"/>
    </row>
    <row r="38" spans="1:14" ht="39" customHeight="1" x14ac:dyDescent="0.25">
      <c r="A38" s="48"/>
      <c r="B38" s="1906" t="str">
        <f>Submittals!H146</f>
        <v>Select the Submission Stage in Project Information</v>
      </c>
      <c r="C38" s="1907"/>
      <c r="D38" s="1907"/>
      <c r="E38" s="1907"/>
      <c r="F38" s="2205"/>
      <c r="G38" s="1253" t="s">
        <v>62</v>
      </c>
      <c r="H38" s="1625"/>
      <c r="I38" s="1626"/>
      <c r="J38" s="48"/>
      <c r="K38" s="48"/>
      <c r="L38" s="48"/>
      <c r="M38" s="48"/>
      <c r="N38" s="37" t="str">
        <f>IF(OR(B38="/",B38="No evidence required at this submission stage"),"Yes",IF(OR(G38="Already approved at PC",G38="Submitted"),"Yes","No"))</f>
        <v>No</v>
      </c>
    </row>
    <row r="39" spans="1:14" x14ac:dyDescent="0.25">
      <c r="A39" s="48"/>
      <c r="B39" s="49"/>
      <c r="C39" s="49"/>
      <c r="D39" s="49"/>
      <c r="E39" s="49"/>
      <c r="F39" s="48"/>
      <c r="G39" s="48"/>
      <c r="H39" s="48"/>
      <c r="I39" s="48"/>
      <c r="J39" s="48"/>
      <c r="K39" s="48"/>
      <c r="L39" s="48"/>
      <c r="M39" s="48"/>
    </row>
    <row r="40" spans="1:14" ht="16.5" customHeight="1" x14ac:dyDescent="0.25">
      <c r="A40" s="2338" t="s">
        <v>8</v>
      </c>
      <c r="B40" s="2338"/>
      <c r="C40" s="2338"/>
      <c r="D40" s="49"/>
      <c r="E40" s="49"/>
      <c r="F40" s="48"/>
      <c r="G40" s="48"/>
      <c r="H40" s="48"/>
      <c r="I40" s="48"/>
      <c r="J40" s="48"/>
      <c r="K40" s="48"/>
      <c r="L40" s="48"/>
      <c r="M40" s="48"/>
    </row>
    <row r="41" spans="1:14" x14ac:dyDescent="0.25">
      <c r="A41" s="48"/>
      <c r="B41" s="49"/>
      <c r="C41" s="49"/>
      <c r="D41" s="49"/>
      <c r="E41" s="49"/>
      <c r="F41" s="48"/>
      <c r="G41" s="48"/>
      <c r="H41" s="48"/>
      <c r="I41" s="48"/>
      <c r="J41" s="48"/>
      <c r="K41" s="48"/>
      <c r="L41" s="48"/>
      <c r="M41" s="48"/>
    </row>
    <row r="42" spans="1:14" ht="18" customHeight="1" x14ac:dyDescent="0.25">
      <c r="A42" s="48"/>
      <c r="B42" s="144" t="s">
        <v>19</v>
      </c>
      <c r="C42" s="8">
        <f>IF(AND(E26="Yes",D29&lt;&gt;"",D30&lt;&gt;"",D31&lt;&gt;""),IF(D31="Certified",2,IF(D31="Silver",2,3)),IF(AND(E27="Yes",D29&lt;&gt;"",D30&lt;&gt;"",D31&lt;&gt;"",D33&lt;&gt;"Select"),IF(D33="Certified",2,IF(D33="Silver",2,3)),0))</f>
        <v>0</v>
      </c>
      <c r="D42" s="49"/>
      <c r="E42" s="49"/>
      <c r="F42" s="48"/>
      <c r="G42" s="48"/>
      <c r="H42" s="48"/>
      <c r="I42" s="48"/>
      <c r="J42" s="48"/>
      <c r="K42" s="48"/>
      <c r="L42" s="48"/>
      <c r="M42" s="48"/>
    </row>
    <row r="43" spans="1:14" ht="18" customHeight="1" x14ac:dyDescent="0.25">
      <c r="A43" s="48"/>
      <c r="B43" s="147" t="s">
        <v>151</v>
      </c>
      <c r="C43" s="7" t="str">
        <f>IF(AND(N38="Yes",C42&gt;0),"Yes","No")</f>
        <v>No</v>
      </c>
      <c r="D43" s="48"/>
      <c r="E43" s="48"/>
      <c r="F43" s="48"/>
      <c r="G43" s="48"/>
      <c r="H43" s="48"/>
      <c r="I43" s="48"/>
      <c r="J43" s="48"/>
      <c r="K43" s="48"/>
      <c r="L43" s="48"/>
      <c r="M43" s="48"/>
    </row>
    <row r="44" spans="1:14" ht="21" customHeight="1" x14ac:dyDescent="0.25">
      <c r="A44" s="48"/>
      <c r="B44" s="49"/>
      <c r="C44" s="49"/>
      <c r="D44" s="49"/>
      <c r="E44" s="49"/>
      <c r="F44" s="48"/>
      <c r="G44" s="48"/>
      <c r="H44" s="48"/>
      <c r="I44" s="48"/>
      <c r="J44" s="48"/>
      <c r="K44" s="48"/>
      <c r="L44" s="48"/>
      <c r="M44" s="48"/>
    </row>
    <row r="45" spans="1:14" ht="18" customHeight="1" x14ac:dyDescent="0.25">
      <c r="A45" s="2331" t="s">
        <v>2028</v>
      </c>
      <c r="B45" s="2331"/>
      <c r="C45" s="2331"/>
      <c r="D45" s="2331"/>
      <c r="E45" s="2331"/>
      <c r="F45" s="2331"/>
      <c r="G45" s="2331"/>
      <c r="H45" s="2331"/>
      <c r="I45" s="2331"/>
      <c r="J45" s="2331"/>
      <c r="K45" s="2331"/>
      <c r="L45" s="2331"/>
      <c r="M45" s="2331"/>
    </row>
    <row r="46" spans="1:14" x14ac:dyDescent="0.25">
      <c r="A46" s="48"/>
      <c r="B46" s="49"/>
      <c r="C46" s="49"/>
      <c r="D46" s="49"/>
      <c r="E46" s="49"/>
      <c r="F46" s="48"/>
      <c r="G46" s="48"/>
      <c r="H46" s="48"/>
      <c r="I46" s="48"/>
      <c r="J46" s="48"/>
      <c r="K46" s="48"/>
      <c r="L46" s="48"/>
      <c r="M46" s="48"/>
    </row>
    <row r="47" spans="1:14" ht="16.5" customHeight="1" x14ac:dyDescent="0.25">
      <c r="A47" s="2338" t="s">
        <v>117</v>
      </c>
      <c r="B47" s="2338"/>
      <c r="C47" s="2338"/>
      <c r="D47" s="49"/>
      <c r="E47" s="49"/>
      <c r="F47" s="49"/>
      <c r="G47" s="49"/>
      <c r="H47" s="49"/>
      <c r="I47" s="49"/>
      <c r="J47" s="49"/>
      <c r="K47" s="49"/>
      <c r="L47" s="49"/>
      <c r="M47" s="49"/>
      <c r="N47" s="49"/>
    </row>
    <row r="48" spans="1:14" x14ac:dyDescent="0.25">
      <c r="A48" s="48"/>
      <c r="B48" s="48"/>
      <c r="C48" s="48"/>
      <c r="D48" s="48"/>
      <c r="E48" s="48"/>
      <c r="F48" s="48"/>
      <c r="G48" s="48"/>
      <c r="H48" s="48"/>
      <c r="I48" s="48"/>
      <c r="J48" s="48"/>
      <c r="K48" s="48"/>
      <c r="L48" s="48"/>
      <c r="M48" s="48"/>
    </row>
    <row r="49" spans="1:13" x14ac:dyDescent="0.25">
      <c r="A49" s="48"/>
      <c r="B49" s="625" t="s">
        <v>2029</v>
      </c>
      <c r="C49" s="48"/>
      <c r="D49" s="48"/>
      <c r="E49" s="48"/>
      <c r="F49" s="48"/>
      <c r="G49" s="48"/>
      <c r="H49" s="48"/>
      <c r="I49" s="48"/>
      <c r="J49" s="48"/>
      <c r="K49" s="48"/>
      <c r="L49" s="48"/>
      <c r="M49" s="48"/>
    </row>
    <row r="50" spans="1:13" ht="13.5" customHeight="1" x14ac:dyDescent="0.25">
      <c r="A50" s="48"/>
      <c r="B50" s="48"/>
      <c r="C50" s="48"/>
      <c r="D50" s="48"/>
      <c r="E50" s="48"/>
      <c r="F50" s="48"/>
      <c r="G50" s="48"/>
      <c r="H50" s="48"/>
      <c r="I50" s="48"/>
      <c r="J50" s="48"/>
      <c r="K50" s="48"/>
      <c r="L50" s="48"/>
      <c r="M50" s="48"/>
    </row>
    <row r="51" spans="1:13" ht="12" customHeight="1" x14ac:dyDescent="0.25">
      <c r="A51" s="48"/>
      <c r="B51" s="48"/>
      <c r="C51" s="48"/>
      <c r="D51" s="48"/>
      <c r="E51" s="48"/>
      <c r="F51" s="48"/>
      <c r="G51" s="48"/>
      <c r="H51" s="48"/>
      <c r="I51" s="48"/>
      <c r="J51" s="48"/>
      <c r="K51" s="48"/>
      <c r="L51" s="48"/>
      <c r="M51" s="48"/>
    </row>
    <row r="52" spans="1:13" x14ac:dyDescent="0.25">
      <c r="A52" s="48"/>
      <c r="B52" s="671" t="s">
        <v>1047</v>
      </c>
      <c r="C52" s="48"/>
      <c r="D52" s="48"/>
      <c r="E52" s="48"/>
      <c r="F52" s="48"/>
      <c r="G52" s="48"/>
      <c r="H52" s="48"/>
      <c r="I52" s="48"/>
      <c r="J52" s="48"/>
      <c r="K52" s="48"/>
      <c r="L52" s="48"/>
      <c r="M52" s="48"/>
    </row>
    <row r="53" spans="1:13" ht="12" customHeight="1" x14ac:dyDescent="0.25">
      <c r="A53" s="48"/>
      <c r="B53" s="48"/>
      <c r="C53" s="48"/>
      <c r="D53" s="48"/>
      <c r="E53" s="48"/>
      <c r="F53" s="48"/>
      <c r="G53" s="48"/>
      <c r="H53" s="48"/>
      <c r="I53" s="48"/>
      <c r="J53" s="48"/>
      <c r="K53" s="48"/>
      <c r="L53" s="48"/>
      <c r="M53" s="48"/>
    </row>
    <row r="54" spans="1:13" ht="18" customHeight="1" x14ac:dyDescent="0.25">
      <c r="A54" s="48"/>
      <c r="B54" s="2339" t="s">
        <v>1048</v>
      </c>
      <c r="C54" s="2340"/>
      <c r="D54" s="2340"/>
      <c r="E54" s="2340"/>
      <c r="F54" s="2340"/>
      <c r="G54" s="2340"/>
      <c r="H54" s="48"/>
      <c r="I54" s="48"/>
      <c r="J54" s="48"/>
      <c r="K54" s="48"/>
      <c r="L54" s="48"/>
      <c r="M54" s="48"/>
    </row>
    <row r="55" spans="1:13" ht="30" customHeight="1" x14ac:dyDescent="0.25">
      <c r="A55" s="48"/>
      <c r="B55" s="2001" t="s">
        <v>1347</v>
      </c>
      <c r="C55" s="2002"/>
      <c r="D55" s="2002"/>
      <c r="E55" s="2002"/>
      <c r="F55" s="2003"/>
      <c r="G55" s="652" t="s">
        <v>62</v>
      </c>
      <c r="H55" s="48"/>
      <c r="I55" s="48"/>
      <c r="J55" s="48"/>
      <c r="K55" s="48"/>
      <c r="L55" s="48"/>
      <c r="M55" s="48"/>
    </row>
    <row r="56" spans="1:13" ht="30" customHeight="1" x14ac:dyDescent="0.25">
      <c r="A56" s="48"/>
      <c r="B56" s="2001" t="s">
        <v>1348</v>
      </c>
      <c r="C56" s="2002"/>
      <c r="D56" s="2002"/>
      <c r="E56" s="2002"/>
      <c r="F56" s="2003" t="s">
        <v>62</v>
      </c>
      <c r="G56" s="652" t="s">
        <v>62</v>
      </c>
      <c r="H56" s="48"/>
      <c r="I56" s="48"/>
      <c r="J56" s="48"/>
      <c r="K56" s="48"/>
      <c r="L56" s="48"/>
      <c r="M56" s="48"/>
    </row>
    <row r="57" spans="1:13" ht="30" customHeight="1" x14ac:dyDescent="0.25">
      <c r="A57" s="48"/>
      <c r="B57" s="2001" t="s">
        <v>2388</v>
      </c>
      <c r="C57" s="2002"/>
      <c r="D57" s="2002"/>
      <c r="E57" s="2002"/>
      <c r="F57" s="2003" t="s">
        <v>62</v>
      </c>
      <c r="G57" s="652" t="s">
        <v>62</v>
      </c>
      <c r="H57" s="48"/>
      <c r="I57" s="48"/>
      <c r="J57" s="48"/>
      <c r="K57" s="48"/>
      <c r="L57" s="48"/>
      <c r="M57" s="48"/>
    </row>
    <row r="58" spans="1:13" ht="38.25" customHeight="1" x14ac:dyDescent="0.25">
      <c r="A58" s="48"/>
      <c r="B58" s="2001" t="s">
        <v>1349</v>
      </c>
      <c r="C58" s="2002"/>
      <c r="D58" s="2002"/>
      <c r="E58" s="2002"/>
      <c r="F58" s="2003" t="s">
        <v>62</v>
      </c>
      <c r="G58" s="652" t="s">
        <v>62</v>
      </c>
      <c r="H58" s="48"/>
      <c r="I58" s="48"/>
      <c r="J58" s="48"/>
      <c r="K58" s="48"/>
      <c r="L58" s="48"/>
      <c r="M58" s="48"/>
    </row>
    <row r="59" spans="1:13" ht="30" customHeight="1" x14ac:dyDescent="0.25">
      <c r="A59" s="48"/>
      <c r="B59" s="2001" t="s">
        <v>1350</v>
      </c>
      <c r="C59" s="2002"/>
      <c r="D59" s="2002"/>
      <c r="E59" s="2002"/>
      <c r="F59" s="2003" t="s">
        <v>62</v>
      </c>
      <c r="G59" s="652" t="s">
        <v>62</v>
      </c>
      <c r="H59" s="48"/>
      <c r="I59" s="48"/>
      <c r="J59" s="48"/>
      <c r="K59" s="48"/>
      <c r="L59" s="48"/>
      <c r="M59" s="48"/>
    </row>
    <row r="60" spans="1:13" ht="21" customHeight="1" x14ac:dyDescent="0.25">
      <c r="A60" s="48"/>
      <c r="B60" s="2347" t="s">
        <v>1351</v>
      </c>
      <c r="C60" s="2348"/>
      <c r="D60" s="2348"/>
      <c r="E60" s="2348"/>
      <c r="F60" s="2349" t="s">
        <v>62</v>
      </c>
      <c r="G60" s="1936" t="s">
        <v>62</v>
      </c>
      <c r="H60" s="48"/>
      <c r="I60" s="48"/>
      <c r="J60" s="48"/>
      <c r="K60" s="48"/>
      <c r="L60" s="48"/>
      <c r="M60" s="48"/>
    </row>
    <row r="61" spans="1:13" ht="31.5" customHeight="1" x14ac:dyDescent="0.25">
      <c r="A61" s="48"/>
      <c r="B61" s="675" t="s">
        <v>1049</v>
      </c>
      <c r="C61" s="2350"/>
      <c r="D61" s="2350"/>
      <c r="E61" s="2350"/>
      <c r="F61" s="2351"/>
      <c r="G61" s="1692"/>
      <c r="H61" s="48"/>
      <c r="I61" s="48"/>
      <c r="J61" s="48"/>
      <c r="K61" s="48"/>
      <c r="L61" s="48"/>
      <c r="M61" s="48"/>
    </row>
    <row r="62" spans="1:13" ht="21" customHeight="1" x14ac:dyDescent="0.25">
      <c r="A62" s="48"/>
      <c r="B62" s="2347" t="s">
        <v>1351</v>
      </c>
      <c r="C62" s="2348"/>
      <c r="D62" s="2348"/>
      <c r="E62" s="2348"/>
      <c r="F62" s="2349" t="s">
        <v>62</v>
      </c>
      <c r="G62" s="1936" t="s">
        <v>62</v>
      </c>
      <c r="H62" s="48"/>
      <c r="I62" s="48"/>
      <c r="J62" s="48"/>
      <c r="K62" s="48"/>
      <c r="L62" s="48"/>
      <c r="M62" s="48"/>
    </row>
    <row r="63" spans="1:13" ht="31.5" customHeight="1" x14ac:dyDescent="0.25">
      <c r="A63" s="48"/>
      <c r="B63" s="675" t="s">
        <v>1049</v>
      </c>
      <c r="C63" s="2350"/>
      <c r="D63" s="2350"/>
      <c r="E63" s="2350"/>
      <c r="F63" s="2351"/>
      <c r="G63" s="1692"/>
      <c r="H63" s="48"/>
      <c r="I63" s="48"/>
      <c r="J63" s="48"/>
      <c r="K63" s="48"/>
      <c r="L63" s="48"/>
      <c r="M63" s="48"/>
    </row>
    <row r="64" spans="1:13" ht="21" customHeight="1" x14ac:dyDescent="0.25">
      <c r="A64" s="48"/>
      <c r="B64" s="49"/>
      <c r="C64" s="49"/>
      <c r="D64" s="49"/>
      <c r="E64" s="49"/>
      <c r="F64" s="48"/>
      <c r="G64" s="48"/>
      <c r="H64" s="48"/>
      <c r="I64" s="48"/>
      <c r="J64" s="48"/>
      <c r="K64" s="48"/>
      <c r="L64" s="48"/>
      <c r="M64" s="48"/>
    </row>
    <row r="65" spans="1:14" ht="21" customHeight="1" x14ac:dyDescent="0.25">
      <c r="A65" s="48"/>
      <c r="B65" s="2346" t="s">
        <v>2030</v>
      </c>
      <c r="C65" s="2346"/>
      <c r="D65" s="2346"/>
      <c r="E65" s="676">
        <f>COUNTIF(G55:G59,"Yes")+IF(AND(G60="Yes",C61&lt;&gt;""),1,0)+IF(AND(G62="Yes",C63&lt;&gt;""),1,0)</f>
        <v>0</v>
      </c>
      <c r="F65" s="48"/>
      <c r="G65" s="48"/>
      <c r="H65" s="48"/>
      <c r="I65" s="48"/>
      <c r="J65" s="48"/>
      <c r="K65" s="48"/>
      <c r="L65" s="48"/>
      <c r="M65" s="48"/>
    </row>
    <row r="66" spans="1:14" ht="21" customHeight="1" x14ac:dyDescent="0.25">
      <c r="A66" s="48"/>
      <c r="B66" s="49"/>
      <c r="C66" s="49"/>
      <c r="D66" s="49"/>
      <c r="E66" s="49"/>
      <c r="F66" s="48"/>
      <c r="G66" s="48"/>
      <c r="H66" s="48"/>
      <c r="I66" s="48"/>
      <c r="J66" s="48"/>
      <c r="K66" s="48"/>
      <c r="L66" s="48"/>
      <c r="M66" s="48"/>
    </row>
    <row r="67" spans="1:14" ht="16.5" customHeight="1" x14ac:dyDescent="0.25">
      <c r="A67" s="2338" t="s">
        <v>97</v>
      </c>
      <c r="B67" s="2338"/>
      <c r="C67" s="2338"/>
      <c r="D67" s="49"/>
      <c r="E67" s="49"/>
      <c r="F67" s="49"/>
      <c r="G67" s="49"/>
      <c r="H67" s="48"/>
      <c r="I67" s="49"/>
      <c r="J67" s="49"/>
      <c r="K67" s="49"/>
      <c r="L67" s="49"/>
      <c r="M67" s="49"/>
      <c r="N67" s="49"/>
    </row>
    <row r="68" spans="1:14" x14ac:dyDescent="0.25">
      <c r="A68" s="48"/>
      <c r="B68" s="49"/>
      <c r="C68" s="49"/>
      <c r="D68" s="49"/>
      <c r="E68" s="48"/>
      <c r="F68" s="48"/>
      <c r="G68" s="48"/>
      <c r="H68" s="48"/>
      <c r="I68" s="48"/>
      <c r="J68" s="48"/>
      <c r="K68" s="48"/>
      <c r="L68" s="48"/>
      <c r="M68" s="48"/>
      <c r="N68" s="48"/>
    </row>
    <row r="69" spans="1:14" ht="21" customHeight="1" x14ac:dyDescent="0.25">
      <c r="A69" s="48"/>
      <c r="B69" s="2334" t="s">
        <v>98</v>
      </c>
      <c r="C69" s="2335"/>
      <c r="D69" s="2335"/>
      <c r="E69" s="2335"/>
      <c r="F69" s="2335"/>
      <c r="G69" s="829" t="s">
        <v>1297</v>
      </c>
      <c r="H69" s="2336" t="s">
        <v>1298</v>
      </c>
      <c r="I69" s="2337"/>
      <c r="J69" s="48"/>
      <c r="K69" s="48"/>
      <c r="L69" s="48"/>
      <c r="M69" s="48"/>
      <c r="N69" s="48"/>
    </row>
    <row r="70" spans="1:14" ht="39" customHeight="1" x14ac:dyDescent="0.25">
      <c r="A70" s="48"/>
      <c r="B70" s="1644" t="str">
        <f>Submittals!H148</f>
        <v>Select the Submission Stage in Project Information</v>
      </c>
      <c r="C70" s="1645"/>
      <c r="D70" s="1645"/>
      <c r="E70" s="1645"/>
      <c r="F70" s="1645"/>
      <c r="G70" s="1253" t="s">
        <v>2478</v>
      </c>
      <c r="H70" s="1625"/>
      <c r="I70" s="1626"/>
      <c r="J70" s="49"/>
      <c r="K70" s="49"/>
      <c r="L70" s="49"/>
      <c r="M70" s="49"/>
      <c r="N70" s="37" t="str">
        <f>IF(OR(B70="/",B70="No evidence required at this submission stage"),"Yes",IF(OR(G70="Already approved at PC",G70="Submitted"),"Yes","No"))</f>
        <v>Yes</v>
      </c>
    </row>
    <row r="71" spans="1:14" ht="18" customHeight="1" x14ac:dyDescent="0.25">
      <c r="A71" s="48"/>
      <c r="B71" s="49"/>
      <c r="C71" s="49"/>
      <c r="D71" s="49"/>
      <c r="E71" s="49"/>
      <c r="F71" s="48"/>
      <c r="G71" s="48"/>
      <c r="H71" s="48"/>
      <c r="I71" s="48"/>
      <c r="J71" s="48"/>
      <c r="K71" s="48"/>
      <c r="L71" s="48"/>
      <c r="M71" s="48"/>
    </row>
    <row r="72" spans="1:14" ht="16.5" customHeight="1" x14ac:dyDescent="0.25">
      <c r="A72" s="2338" t="s">
        <v>8</v>
      </c>
      <c r="B72" s="2338"/>
      <c r="C72" s="2338"/>
      <c r="D72" s="49"/>
      <c r="E72" s="49"/>
      <c r="F72" s="48"/>
      <c r="G72" s="48"/>
      <c r="H72" s="48"/>
      <c r="I72" s="48"/>
      <c r="J72" s="48"/>
      <c r="K72" s="48"/>
      <c r="L72" s="48"/>
      <c r="M72" s="48"/>
    </row>
    <row r="73" spans="1:14" ht="16.5" customHeight="1" x14ac:dyDescent="0.25">
      <c r="A73" s="48"/>
      <c r="B73" s="49"/>
      <c r="C73" s="49"/>
      <c r="D73" s="49"/>
      <c r="E73" s="49"/>
      <c r="F73" s="48"/>
      <c r="G73" s="48"/>
      <c r="H73" s="48"/>
      <c r="I73" s="48"/>
      <c r="J73" s="48"/>
      <c r="K73" s="48"/>
      <c r="L73" s="48"/>
      <c r="M73" s="48"/>
    </row>
    <row r="74" spans="1:14" ht="18" customHeight="1" x14ac:dyDescent="0.25">
      <c r="A74" s="48"/>
      <c r="B74" s="144" t="s">
        <v>19</v>
      </c>
      <c r="C74" s="8">
        <f>IF(E65&gt;=4,2,IF(E65&gt;=2,1,0))</f>
        <v>0</v>
      </c>
      <c r="D74" s="49"/>
      <c r="E74" s="49"/>
      <c r="F74" s="48"/>
      <c r="G74" s="48"/>
      <c r="H74" s="48"/>
      <c r="I74" s="48"/>
      <c r="J74" s="48"/>
      <c r="K74" s="48"/>
      <c r="L74" s="48"/>
      <c r="M74" s="48"/>
    </row>
    <row r="75" spans="1:14" ht="18" customHeight="1" x14ac:dyDescent="0.25">
      <c r="A75" s="48"/>
      <c r="B75" s="147" t="s">
        <v>151</v>
      </c>
      <c r="C75" s="8" t="str">
        <f>IF(AND(COUNTIF(N70:N70,"Yes")=1,C74&gt;0),"Yes","No")</f>
        <v>No</v>
      </c>
      <c r="D75" s="48"/>
      <c r="E75" s="48"/>
      <c r="F75" s="48"/>
      <c r="G75" s="48"/>
      <c r="H75" s="48"/>
      <c r="I75" s="48"/>
      <c r="J75" s="48"/>
      <c r="K75" s="48"/>
      <c r="L75" s="48"/>
      <c r="M75" s="48"/>
    </row>
    <row r="76" spans="1:14" ht="21" customHeight="1" x14ac:dyDescent="0.25">
      <c r="A76" s="48"/>
      <c r="B76" s="49"/>
      <c r="C76" s="49"/>
      <c r="D76" s="49"/>
      <c r="E76" s="49"/>
      <c r="F76" s="48"/>
      <c r="G76" s="48"/>
      <c r="H76" s="48"/>
      <c r="I76" s="48"/>
      <c r="J76" s="48"/>
      <c r="K76" s="48"/>
      <c r="L76" s="48"/>
      <c r="M76" s="48"/>
    </row>
    <row r="77" spans="1:14" ht="15" hidden="1" customHeight="1" x14ac:dyDescent="0.25"/>
    <row r="78" spans="1:14" ht="15" hidden="1" customHeight="1" x14ac:dyDescent="0.25"/>
    <row r="79" spans="1:14" ht="15" hidden="1" customHeight="1" x14ac:dyDescent="0.25"/>
    <row r="80" spans="1:1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sheetData>
  <sheetProtection algorithmName="SHA-512" hashValue="yH6S6j+pE8yiUJsKOy+XSFQu63dWv3lpFvNhD3fQ4ThNBgn2m0HUGAFkTeuL+6dXMaQmJ4N4o/NXv8yH9Y+eHg==" saltValue="RDkNBNCaEfTRhvZJFoVtZw==" spinCount="100000" sheet="1" objects="1" scenarios="1"/>
  <dataConsolidate/>
  <mergeCells count="48">
    <mergeCell ref="B65:D65"/>
    <mergeCell ref="B60:F60"/>
    <mergeCell ref="G60:G61"/>
    <mergeCell ref="C61:F61"/>
    <mergeCell ref="B55:F55"/>
    <mergeCell ref="B56:F56"/>
    <mergeCell ref="B57:F57"/>
    <mergeCell ref="B58:F58"/>
    <mergeCell ref="B59:F59"/>
    <mergeCell ref="B62:F62"/>
    <mergeCell ref="G62:G63"/>
    <mergeCell ref="C63:F63"/>
    <mergeCell ref="B54:G54"/>
    <mergeCell ref="A35:C35"/>
    <mergeCell ref="A1:M1"/>
    <mergeCell ref="A45:M45"/>
    <mergeCell ref="B11:C11"/>
    <mergeCell ref="D11:F11"/>
    <mergeCell ref="A40:C40"/>
    <mergeCell ref="A20:C20"/>
    <mergeCell ref="B26:D26"/>
    <mergeCell ref="A18:M18"/>
    <mergeCell ref="A47:C47"/>
    <mergeCell ref="B29:C29"/>
    <mergeCell ref="B30:C30"/>
    <mergeCell ref="D29:E29"/>
    <mergeCell ref="D30:E30"/>
    <mergeCell ref="B31:C31"/>
    <mergeCell ref="H70:I70"/>
    <mergeCell ref="A72:C72"/>
    <mergeCell ref="A67:C67"/>
    <mergeCell ref="B70:F70"/>
    <mergeCell ref="B69:F69"/>
    <mergeCell ref="H69:I69"/>
    <mergeCell ref="D31:E31"/>
    <mergeCell ref="B38:F38"/>
    <mergeCell ref="I2:L4"/>
    <mergeCell ref="A5:M7"/>
    <mergeCell ref="B13:E13"/>
    <mergeCell ref="B14:E14"/>
    <mergeCell ref="B15:E15"/>
    <mergeCell ref="A9:M9"/>
    <mergeCell ref="B27:D27"/>
    <mergeCell ref="B33:C33"/>
    <mergeCell ref="D33:E33"/>
    <mergeCell ref="B37:F37"/>
    <mergeCell ref="H37:I37"/>
    <mergeCell ref="H38:I38"/>
  </mergeCells>
  <conditionalFormatting sqref="H70:I70">
    <cfRule type="expression" dxfId="152" priority="12">
      <formula>$B70="/"</formula>
    </cfRule>
    <cfRule type="expression" dxfId="151" priority="13">
      <formula>$B70="No evidence required at this submission stage"</formula>
    </cfRule>
  </conditionalFormatting>
  <conditionalFormatting sqref="H38">
    <cfRule type="expression" dxfId="150" priority="5">
      <formula>$B38="No evidence required at this submission stage"</formula>
    </cfRule>
    <cfRule type="expression" dxfId="149" priority="6">
      <formula>$B38="/"</formula>
    </cfRule>
  </conditionalFormatting>
  <conditionalFormatting sqref="G38">
    <cfRule type="expression" dxfId="148" priority="3">
      <formula>$B38="/"</formula>
    </cfRule>
    <cfRule type="expression" dxfId="147" priority="4">
      <formula>$B38="No evidence required at this submission stage"</formula>
    </cfRule>
  </conditionalFormatting>
  <conditionalFormatting sqref="G70">
    <cfRule type="expression" dxfId="146" priority="1">
      <formula>$B70="/"</formula>
    </cfRule>
    <cfRule type="expression" dxfId="145" priority="2">
      <formula>$B70="No evidence required at this submission stage"</formula>
    </cfRule>
  </conditionalFormatting>
  <dataValidations count="7">
    <dataValidation type="list" allowBlank="1" showInputMessage="1" showErrorMessage="1" sqref="F62 F56:F60">
      <formula1>"Select,Access provided,No access"</formula1>
    </dataValidation>
    <dataValidation type="list" allowBlank="1" showInputMessage="1" showErrorMessage="1" sqref="G55:G60 G62 E26:E27">
      <formula1>"Select,Yes,No"</formula1>
    </dataValidation>
    <dataValidation type="list" allowBlank="1" showInputMessage="1" showErrorMessage="1" sqref="D11:F11">
      <formula1>"Select,Option A: LOTUS Certified base building,Option B: Base building with green attributes"</formula1>
    </dataValidation>
    <dataValidation allowBlank="1" showInputMessage="1" showErrorMessage="1" prompt="Such as: LOTUS NR, LOTUS BIO, LEED BD+C, Green Mark NRB, etc." sqref="D30:E30"/>
    <dataValidation allowBlank="1" showInputMessage="1" showErrorMessage="1" prompt="Such as: Certified, Silver, Gold, Gold Plus, Platinum, etc." sqref="D31:E31"/>
    <dataValidation type="list" allowBlank="1" showInputMessage="1" showErrorMessage="1" prompt="Subject to VGBC approval." sqref="D33:E33">
      <formula1>"Select,Certified,Silver,Gold,Platinum"</formula1>
    </dataValidation>
    <dataValidation type="list" allowBlank="1" showInputMessage="1" showErrorMessage="1" sqref="G38 G70">
      <formula1>Sub_FC</formula1>
    </dataValidation>
  </dataValidations>
  <hyperlinks>
    <hyperlink ref="M4" location="'LT-4 Facilities and amenities '!B3" tooltip="LT-4" display="LT-4"/>
    <hyperlink ref="M2" location="'LT-2 Tenancy lease'!B3" tooltip="LT-2" display="LT-2"/>
    <hyperlink ref="M3" location="'LT-3 Green Transportation '!B3" tooltip="LT-3" display="LT-3"/>
  </hyperlink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6923C"/>
  </sheetPr>
  <dimension ref="A1:P152"/>
  <sheetViews>
    <sheetView showRowColHeaders="0" workbookViewId="0">
      <pane ySplit="8" topLeftCell="A9" activePane="bottomLeft" state="frozen"/>
      <selection activeCell="I2" sqref="I2:J4"/>
      <selection pane="bottomLeft" activeCell="A8" sqref="A8"/>
    </sheetView>
  </sheetViews>
  <sheetFormatPr defaultColWidth="0" defaultRowHeight="15" customHeight="1" zeroHeight="1" x14ac:dyDescent="0.25"/>
  <cols>
    <col min="1" max="1" width="3.7109375" style="37" customWidth="1"/>
    <col min="2" max="2" width="18.42578125" style="37" customWidth="1"/>
    <col min="3" max="3" width="18.7109375" style="37" customWidth="1"/>
    <col min="4" max="5" width="18.42578125" style="37" customWidth="1"/>
    <col min="6" max="6" width="17.28515625" style="37" customWidth="1"/>
    <col min="7" max="7" width="19.5703125" style="37" customWidth="1"/>
    <col min="8" max="8" width="22.140625" style="37" customWidth="1"/>
    <col min="9" max="9" width="15.42578125" style="37" customWidth="1"/>
    <col min="10" max="10" width="10" style="37" customWidth="1"/>
    <col min="11" max="11" width="8.7109375" style="37" customWidth="1"/>
    <col min="12" max="12" width="7.28515625" style="37" customWidth="1"/>
    <col min="13" max="13" width="9.7109375" style="37" customWidth="1"/>
    <col min="14" max="14" width="9.140625" style="37" hidden="1" customWidth="1"/>
    <col min="15" max="15" width="23.7109375" style="37" hidden="1" customWidth="1"/>
    <col min="16" max="16" width="15.28515625" style="37" hidden="1" customWidth="1"/>
    <col min="17" max="16384" width="9.140625" style="37" hidden="1"/>
  </cols>
  <sheetData>
    <row r="1" spans="1:14" ht="23.25" x14ac:dyDescent="0.25">
      <c r="A1" s="2341" t="s">
        <v>571</v>
      </c>
      <c r="B1" s="2341"/>
      <c r="C1" s="2341"/>
      <c r="D1" s="2341"/>
      <c r="E1" s="2341"/>
      <c r="F1" s="2341"/>
      <c r="G1" s="2341"/>
      <c r="H1" s="2341"/>
      <c r="I1" s="2341"/>
      <c r="J1" s="2341"/>
      <c r="K1" s="2341"/>
      <c r="L1" s="2341"/>
      <c r="M1" s="2341"/>
    </row>
    <row r="2" spans="1:14" ht="15" customHeight="1" x14ac:dyDescent="0.25">
      <c r="A2" s="48"/>
      <c r="B2" s="49"/>
      <c r="C2" s="49"/>
      <c r="D2" s="49"/>
      <c r="E2" s="49"/>
      <c r="F2" s="48"/>
      <c r="G2" s="48"/>
      <c r="H2" s="48"/>
      <c r="I2" s="1694" t="s">
        <v>357</v>
      </c>
      <c r="J2" s="1694"/>
      <c r="K2" s="1694"/>
      <c r="L2" s="1694"/>
      <c r="M2" s="141" t="s">
        <v>345</v>
      </c>
    </row>
    <row r="3" spans="1:14" ht="15" customHeight="1" x14ac:dyDescent="0.25">
      <c r="A3" s="48"/>
      <c r="B3" s="49"/>
      <c r="C3" s="49"/>
      <c r="D3" s="49"/>
      <c r="E3" s="49"/>
      <c r="F3" s="48"/>
      <c r="G3" s="48"/>
      <c r="H3" s="48"/>
      <c r="I3" s="1694"/>
      <c r="J3" s="1694"/>
      <c r="K3" s="1694"/>
      <c r="L3" s="1694"/>
      <c r="M3" s="141" t="s">
        <v>347</v>
      </c>
    </row>
    <row r="4" spans="1:14" ht="15" customHeight="1" x14ac:dyDescent="0.25">
      <c r="A4" s="48"/>
      <c r="B4" s="49"/>
      <c r="C4" s="49"/>
      <c r="D4" s="49"/>
      <c r="E4" s="49"/>
      <c r="F4" s="48"/>
      <c r="G4" s="48"/>
      <c r="H4" s="48"/>
      <c r="I4" s="2320"/>
      <c r="J4" s="2320"/>
      <c r="K4" s="2320"/>
      <c r="L4" s="2320"/>
      <c r="M4" s="141" t="s">
        <v>348</v>
      </c>
    </row>
    <row r="5" spans="1:14" ht="21" customHeight="1" x14ac:dyDescent="0.25">
      <c r="A5" s="2321" t="s">
        <v>2845</v>
      </c>
      <c r="B5" s="2322"/>
      <c r="C5" s="2322"/>
      <c r="D5" s="2322"/>
      <c r="E5" s="2322"/>
      <c r="F5" s="2322"/>
      <c r="G5" s="2322"/>
      <c r="H5" s="2322"/>
      <c r="I5" s="2322"/>
      <c r="J5" s="2322"/>
      <c r="K5" s="2322"/>
      <c r="L5" s="2322"/>
      <c r="M5" s="2323"/>
    </row>
    <row r="6" spans="1:14" ht="21" customHeight="1" x14ac:dyDescent="0.25">
      <c r="A6" s="2324"/>
      <c r="B6" s="1708"/>
      <c r="C6" s="1708"/>
      <c r="D6" s="1708"/>
      <c r="E6" s="1708"/>
      <c r="F6" s="1708"/>
      <c r="G6" s="1708"/>
      <c r="H6" s="1708"/>
      <c r="I6" s="1708"/>
      <c r="J6" s="1708"/>
      <c r="K6" s="1708"/>
      <c r="L6" s="1708"/>
      <c r="M6" s="2325"/>
    </row>
    <row r="7" spans="1:14" ht="21" customHeight="1" x14ac:dyDescent="0.25">
      <c r="A7" s="2326"/>
      <c r="B7" s="2327"/>
      <c r="C7" s="2327"/>
      <c r="D7" s="2327"/>
      <c r="E7" s="2327"/>
      <c r="F7" s="2327"/>
      <c r="G7" s="2327"/>
      <c r="H7" s="2327"/>
      <c r="I7" s="2327"/>
      <c r="J7" s="2327"/>
      <c r="K7" s="2327"/>
      <c r="L7" s="2327"/>
      <c r="M7" s="2328"/>
    </row>
    <row r="8" spans="1:14" ht="12" customHeight="1" x14ac:dyDescent="0.25">
      <c r="A8" s="49"/>
      <c r="B8" s="49"/>
      <c r="C8" s="49"/>
      <c r="D8" s="49"/>
      <c r="E8" s="49"/>
      <c r="F8" s="48"/>
      <c r="G8" s="48"/>
      <c r="H8" s="48"/>
      <c r="I8" s="48"/>
      <c r="J8" s="48"/>
      <c r="K8" s="48"/>
      <c r="L8" s="48"/>
      <c r="M8" s="48"/>
    </row>
    <row r="9" spans="1:14" ht="18" customHeight="1" x14ac:dyDescent="0.25">
      <c r="A9" s="2331" t="s">
        <v>95</v>
      </c>
      <c r="B9" s="2331"/>
      <c r="C9" s="2331"/>
      <c r="D9" s="2331"/>
      <c r="E9" s="2331"/>
      <c r="F9" s="2331"/>
      <c r="G9" s="2331"/>
      <c r="H9" s="2331"/>
      <c r="I9" s="2331"/>
      <c r="J9" s="2331"/>
      <c r="K9" s="2331"/>
      <c r="L9" s="2331"/>
      <c r="M9" s="2331"/>
    </row>
    <row r="10" spans="1:14" x14ac:dyDescent="0.25">
      <c r="A10" s="48"/>
      <c r="B10" s="49"/>
      <c r="C10" s="49"/>
      <c r="D10" s="49"/>
      <c r="E10" s="49"/>
      <c r="F10" s="48"/>
      <c r="G10" s="48"/>
      <c r="H10" s="48"/>
      <c r="I10" s="48"/>
      <c r="J10" s="48"/>
      <c r="K10" s="48"/>
      <c r="L10" s="48"/>
      <c r="M10" s="48"/>
    </row>
    <row r="11" spans="1:14" ht="16.5" customHeight="1" x14ac:dyDescent="0.25">
      <c r="A11" s="48"/>
      <c r="B11" s="2139" t="s">
        <v>114</v>
      </c>
      <c r="C11" s="2342"/>
      <c r="D11" s="2343" t="s">
        <v>62</v>
      </c>
      <c r="E11" s="2345"/>
      <c r="F11" s="48"/>
      <c r="G11" s="48"/>
      <c r="H11" s="48"/>
      <c r="I11" s="48"/>
      <c r="J11" s="48"/>
      <c r="K11" s="48"/>
      <c r="L11" s="48"/>
      <c r="M11" s="48"/>
    </row>
    <row r="12" spans="1:14" x14ac:dyDescent="0.25">
      <c r="A12" s="48"/>
      <c r="B12" s="49"/>
      <c r="C12" s="49"/>
      <c r="D12" s="49"/>
      <c r="E12" s="49"/>
      <c r="F12" s="48"/>
      <c r="G12" s="48"/>
      <c r="H12" s="48"/>
      <c r="I12" s="48"/>
      <c r="J12" s="48"/>
      <c r="K12" s="48"/>
      <c r="L12" s="48"/>
      <c r="M12" s="48"/>
    </row>
    <row r="13" spans="1:14" ht="20.25" customHeight="1" x14ac:dyDescent="0.25">
      <c r="A13" s="48"/>
      <c r="B13" s="2329" t="s">
        <v>96</v>
      </c>
      <c r="C13" s="2330"/>
      <c r="D13" s="2330"/>
      <c r="E13" s="2330"/>
      <c r="F13" s="539" t="s">
        <v>75</v>
      </c>
      <c r="G13" s="539" t="s">
        <v>19</v>
      </c>
      <c r="H13" s="54" t="s">
        <v>151</v>
      </c>
      <c r="I13" s="48"/>
      <c r="J13" s="48"/>
      <c r="K13" s="48"/>
      <c r="L13" s="48"/>
      <c r="M13" s="48"/>
    </row>
    <row r="14" spans="1:14" ht="30" customHeight="1" x14ac:dyDescent="0.25">
      <c r="A14" s="48"/>
      <c r="B14" s="1742" t="s">
        <v>577</v>
      </c>
      <c r="C14" s="1743"/>
      <c r="D14" s="1743"/>
      <c r="E14" s="1744"/>
      <c r="F14" s="320">
        <v>1</v>
      </c>
      <c r="G14" s="320" t="str">
        <f>IF(D11="Option A: Long-term lease",C35,"/")</f>
        <v>/</v>
      </c>
      <c r="H14" s="320" t="str">
        <f>IF(D11="Option A: Long-term lease",C36,"/")</f>
        <v>/</v>
      </c>
      <c r="I14" s="48"/>
      <c r="J14" s="48"/>
      <c r="K14" s="48"/>
      <c r="L14" s="48"/>
      <c r="M14" s="48"/>
    </row>
    <row r="15" spans="1:14" ht="27" customHeight="1" x14ac:dyDescent="0.25">
      <c r="A15" s="48"/>
      <c r="B15" s="1742" t="s">
        <v>576</v>
      </c>
      <c r="C15" s="1743"/>
      <c r="D15" s="1743"/>
      <c r="E15" s="1744"/>
      <c r="F15" s="320">
        <v>1</v>
      </c>
      <c r="G15" s="320" t="str">
        <f>IF(D11="Option B: Green lease",C65,"/")</f>
        <v>/</v>
      </c>
      <c r="H15" s="320" t="str">
        <f>IF(D11="Option B: Green lease",C66,"/")</f>
        <v>/</v>
      </c>
      <c r="I15" s="48"/>
      <c r="J15" s="48"/>
      <c r="K15" s="48"/>
      <c r="L15" s="48"/>
      <c r="M15" s="48"/>
      <c r="N15" s="37">
        <f>IF(D11="Option A: Long-term lease",C35,0)+IF(D11="Option B: Green lease",C65,0)</f>
        <v>0</v>
      </c>
    </row>
    <row r="16" spans="1:14" x14ac:dyDescent="0.25">
      <c r="A16" s="48"/>
      <c r="B16" s="49"/>
      <c r="C16" s="49"/>
      <c r="D16" s="49"/>
      <c r="E16" s="49"/>
      <c r="F16" s="48"/>
      <c r="G16" s="48"/>
      <c r="H16" s="48"/>
      <c r="I16" s="48"/>
      <c r="J16" s="48"/>
      <c r="K16" s="48"/>
      <c r="L16" s="48"/>
      <c r="M16" s="48"/>
    </row>
    <row r="17" spans="1:14" ht="18" customHeight="1" x14ac:dyDescent="0.25">
      <c r="A17" s="2331" t="s">
        <v>858</v>
      </c>
      <c r="B17" s="2331"/>
      <c r="C17" s="2331"/>
      <c r="D17" s="2331"/>
      <c r="E17" s="2331"/>
      <c r="F17" s="2331"/>
      <c r="G17" s="2331"/>
      <c r="H17" s="2331"/>
      <c r="I17" s="2331"/>
      <c r="J17" s="2331"/>
      <c r="K17" s="2331"/>
      <c r="L17" s="2331"/>
      <c r="M17" s="2331"/>
    </row>
    <row r="18" spans="1:14" x14ac:dyDescent="0.25">
      <c r="A18" s="123"/>
      <c r="B18" s="127"/>
      <c r="C18" s="127"/>
      <c r="D18" s="127"/>
      <c r="E18" s="127"/>
      <c r="F18" s="123"/>
      <c r="G18" s="123"/>
      <c r="H18" s="123"/>
      <c r="I18" s="123"/>
      <c r="J18" s="123"/>
      <c r="K18" s="123"/>
      <c r="L18" s="123"/>
      <c r="M18" s="123"/>
    </row>
    <row r="19" spans="1:14" x14ac:dyDescent="0.25">
      <c r="A19" s="123"/>
      <c r="B19" s="717" t="s">
        <v>1130</v>
      </c>
      <c r="C19" s="127"/>
      <c r="D19" s="127"/>
      <c r="E19" s="127"/>
      <c r="F19" s="123"/>
      <c r="G19" s="123"/>
      <c r="H19" s="123"/>
      <c r="I19" s="123"/>
      <c r="J19" s="123"/>
      <c r="K19" s="123"/>
      <c r="L19" s="123"/>
      <c r="M19" s="123"/>
    </row>
    <row r="20" spans="1:14" ht="11.25" customHeight="1" x14ac:dyDescent="0.25">
      <c r="A20" s="123"/>
      <c r="B20" s="127"/>
      <c r="C20" s="127"/>
      <c r="D20" s="127"/>
      <c r="E20" s="127"/>
      <c r="F20" s="123"/>
      <c r="G20" s="123"/>
      <c r="H20" s="123"/>
      <c r="I20" s="123"/>
      <c r="J20" s="123"/>
      <c r="K20" s="123"/>
      <c r="L20" s="123"/>
      <c r="M20" s="123"/>
    </row>
    <row r="21" spans="1:14" ht="12.75" customHeight="1" x14ac:dyDescent="0.25">
      <c r="A21" s="123"/>
      <c r="B21" s="127"/>
      <c r="C21" s="127"/>
      <c r="D21" s="127"/>
      <c r="E21" s="127"/>
      <c r="F21" s="123"/>
      <c r="G21" s="123"/>
      <c r="H21" s="123"/>
      <c r="I21" s="123"/>
      <c r="J21" s="123"/>
      <c r="K21" s="123"/>
      <c r="L21" s="123"/>
      <c r="M21" s="123"/>
    </row>
    <row r="22" spans="1:14" x14ac:dyDescent="0.25">
      <c r="A22" s="123"/>
      <c r="B22" s="718" t="s">
        <v>1131</v>
      </c>
      <c r="C22" s="127"/>
      <c r="D22" s="127"/>
      <c r="E22" s="127"/>
      <c r="F22" s="123"/>
      <c r="G22" s="123"/>
      <c r="H22" s="123"/>
      <c r="I22" s="123"/>
      <c r="J22" s="123"/>
      <c r="K22" s="123"/>
      <c r="L22" s="123"/>
      <c r="M22" s="123"/>
    </row>
    <row r="23" spans="1:14" ht="12" customHeight="1" x14ac:dyDescent="0.25">
      <c r="A23" s="123"/>
      <c r="B23" s="127"/>
      <c r="C23" s="127"/>
      <c r="D23" s="127"/>
      <c r="E23" s="127"/>
      <c r="F23" s="123"/>
      <c r="G23" s="123"/>
      <c r="H23" s="123"/>
      <c r="I23" s="123"/>
      <c r="J23" s="123"/>
      <c r="K23" s="123"/>
      <c r="L23" s="123"/>
      <c r="M23" s="123"/>
    </row>
    <row r="24" spans="1:14" ht="18" customHeight="1" x14ac:dyDescent="0.25">
      <c r="A24" s="123"/>
      <c r="B24" s="1620" t="s">
        <v>1342</v>
      </c>
      <c r="C24" s="1620"/>
      <c r="D24" s="1620"/>
      <c r="E24" s="719"/>
      <c r="F24" s="123"/>
      <c r="G24" s="123"/>
      <c r="H24" s="123"/>
      <c r="I24" s="123"/>
      <c r="J24" s="123"/>
      <c r="K24" s="123"/>
      <c r="L24" s="123"/>
      <c r="M24" s="123"/>
    </row>
    <row r="25" spans="1:14" x14ac:dyDescent="0.25">
      <c r="A25" s="123"/>
      <c r="B25" s="127"/>
      <c r="C25" s="127"/>
      <c r="D25" s="127"/>
      <c r="E25" s="127"/>
      <c r="F25" s="123"/>
      <c r="G25" s="123"/>
      <c r="H25" s="123"/>
      <c r="I25" s="123"/>
      <c r="J25" s="123"/>
      <c r="K25" s="123"/>
      <c r="L25" s="123"/>
      <c r="M25" s="123"/>
    </row>
    <row r="26" spans="1:14" ht="18" customHeight="1" x14ac:dyDescent="0.25">
      <c r="A26" s="123"/>
      <c r="B26" s="2352" t="s">
        <v>1136</v>
      </c>
      <c r="C26" s="2353"/>
      <c r="D26" s="157" t="str">
        <f>IF(AND(E24&lt;&gt;"",E24&gt;=6),"Yes","No")</f>
        <v>No</v>
      </c>
      <c r="E26" s="123"/>
      <c r="F26" s="123"/>
      <c r="G26" s="123"/>
      <c r="H26" s="123"/>
      <c r="I26" s="123"/>
      <c r="J26" s="123"/>
      <c r="K26" s="123"/>
      <c r="L26" s="123"/>
      <c r="M26" s="123"/>
    </row>
    <row r="27" spans="1:14" ht="18" customHeight="1" x14ac:dyDescent="0.25">
      <c r="A27" s="123"/>
      <c r="B27" s="127"/>
      <c r="C27" s="127"/>
      <c r="D27" s="127"/>
      <c r="E27" s="127"/>
      <c r="F27" s="123"/>
      <c r="G27" s="123"/>
      <c r="H27" s="123"/>
      <c r="I27" s="123"/>
      <c r="J27" s="123"/>
      <c r="K27" s="123"/>
      <c r="L27" s="123"/>
      <c r="M27" s="123"/>
    </row>
    <row r="28" spans="1:14" ht="16.5" customHeight="1" x14ac:dyDescent="0.25">
      <c r="A28" s="2338" t="s">
        <v>97</v>
      </c>
      <c r="B28" s="2338"/>
      <c r="C28" s="127"/>
      <c r="D28" s="127"/>
      <c r="E28" s="127"/>
      <c r="F28" s="127"/>
      <c r="G28" s="127"/>
      <c r="H28" s="127"/>
      <c r="I28" s="127"/>
      <c r="J28" s="127"/>
      <c r="K28" s="127"/>
      <c r="L28" s="127"/>
      <c r="M28" s="127"/>
    </row>
    <row r="29" spans="1:14" x14ac:dyDescent="0.25">
      <c r="A29" s="127"/>
      <c r="B29" s="127"/>
      <c r="C29" s="127"/>
      <c r="D29" s="127"/>
      <c r="E29" s="123"/>
      <c r="F29" s="123"/>
      <c r="G29" s="123"/>
      <c r="H29" s="123"/>
      <c r="I29" s="123"/>
      <c r="J29" s="123"/>
      <c r="K29" s="123"/>
      <c r="L29" s="123"/>
      <c r="M29" s="123"/>
    </row>
    <row r="30" spans="1:14" ht="21.75" customHeight="1" x14ac:dyDescent="0.25">
      <c r="A30" s="123"/>
      <c r="B30" s="2334" t="s">
        <v>98</v>
      </c>
      <c r="C30" s="2335"/>
      <c r="D30" s="2335"/>
      <c r="E30" s="2335"/>
      <c r="F30" s="2335"/>
      <c r="G30" s="829" t="s">
        <v>1297</v>
      </c>
      <c r="H30" s="2336" t="s">
        <v>1298</v>
      </c>
      <c r="I30" s="2337"/>
      <c r="J30" s="123"/>
      <c r="K30" s="123"/>
      <c r="L30" s="123"/>
      <c r="M30" s="123"/>
    </row>
    <row r="31" spans="1:14" ht="33" customHeight="1" x14ac:dyDescent="0.25">
      <c r="A31" s="123"/>
      <c r="B31" s="1906" t="str">
        <f>Submittals!H150</f>
        <v>Select the Submission Stage in Project Information</v>
      </c>
      <c r="C31" s="1907"/>
      <c r="D31" s="1907"/>
      <c r="E31" s="1907"/>
      <c r="F31" s="2205"/>
      <c r="G31" s="1253" t="s">
        <v>62</v>
      </c>
      <c r="H31" s="1625"/>
      <c r="I31" s="1626"/>
      <c r="J31" s="123"/>
      <c r="K31" s="123"/>
      <c r="L31" s="123"/>
      <c r="M31" s="123"/>
      <c r="N31" s="37" t="str">
        <f>IF(OR(B31="/",B31="No evidence required at this submission stage"),"Yes",IF(OR(G31="Already approved at PC",G31="Submitted"),"Yes","No"))</f>
        <v>No</v>
      </c>
    </row>
    <row r="32" spans="1:14" x14ac:dyDescent="0.25">
      <c r="A32" s="123"/>
      <c r="B32" s="127"/>
      <c r="C32" s="127"/>
      <c r="D32" s="127"/>
      <c r="E32" s="127"/>
      <c r="F32" s="123"/>
      <c r="G32" s="123"/>
      <c r="H32" s="123"/>
      <c r="I32" s="123"/>
      <c r="J32" s="123"/>
      <c r="K32" s="123"/>
      <c r="L32" s="123"/>
      <c r="M32" s="123"/>
    </row>
    <row r="33" spans="1:13" ht="16.5" customHeight="1" x14ac:dyDescent="0.25">
      <c r="A33" s="2338" t="s">
        <v>8</v>
      </c>
      <c r="B33" s="2338"/>
      <c r="C33" s="127"/>
      <c r="D33" s="127"/>
      <c r="E33" s="127"/>
      <c r="F33" s="123"/>
      <c r="G33" s="123"/>
      <c r="H33" s="123"/>
      <c r="I33" s="123"/>
      <c r="J33" s="123"/>
      <c r="K33" s="123"/>
      <c r="L33" s="123"/>
      <c r="M33" s="123"/>
    </row>
    <row r="34" spans="1:13" x14ac:dyDescent="0.25">
      <c r="A34" s="123"/>
      <c r="B34" s="127"/>
      <c r="C34" s="127"/>
      <c r="D34" s="127"/>
      <c r="E34" s="127"/>
      <c r="F34" s="123"/>
      <c r="G34" s="123"/>
      <c r="H34" s="123"/>
      <c r="I34" s="123"/>
      <c r="J34" s="123"/>
      <c r="K34" s="123"/>
      <c r="L34" s="123"/>
      <c r="M34" s="123"/>
    </row>
    <row r="35" spans="1:13" ht="18" customHeight="1" x14ac:dyDescent="0.25">
      <c r="A35" s="123"/>
      <c r="B35" s="144" t="s">
        <v>19</v>
      </c>
      <c r="C35" s="8">
        <f>IF(D26="Yes",1,0)</f>
        <v>0</v>
      </c>
      <c r="D35" s="127"/>
      <c r="E35" s="127"/>
      <c r="F35" s="123"/>
      <c r="G35" s="123"/>
      <c r="H35" s="123"/>
      <c r="I35" s="123"/>
      <c r="J35" s="123"/>
      <c r="K35" s="123"/>
      <c r="L35" s="123"/>
      <c r="M35" s="123"/>
    </row>
    <row r="36" spans="1:13" ht="18" customHeight="1" x14ac:dyDescent="0.25">
      <c r="A36" s="123"/>
      <c r="B36" s="147" t="s">
        <v>151</v>
      </c>
      <c r="C36" s="7" t="str">
        <f>IF(AND(N31="Yes",C35&gt;0),"Yes","No")</f>
        <v>No</v>
      </c>
      <c r="D36" s="123"/>
      <c r="E36" s="123"/>
      <c r="F36" s="123"/>
      <c r="G36" s="123"/>
      <c r="H36" s="123"/>
      <c r="I36" s="123"/>
      <c r="J36" s="123"/>
      <c r="K36" s="123"/>
      <c r="L36" s="123"/>
      <c r="M36" s="123"/>
    </row>
    <row r="37" spans="1:13" ht="18" customHeight="1" x14ac:dyDescent="0.25">
      <c r="A37" s="123"/>
      <c r="B37" s="127"/>
      <c r="C37" s="127"/>
      <c r="D37" s="127"/>
      <c r="E37" s="127"/>
      <c r="F37" s="123"/>
      <c r="G37" s="123"/>
      <c r="H37" s="123"/>
      <c r="I37" s="123"/>
      <c r="J37" s="123"/>
      <c r="K37" s="123"/>
      <c r="L37" s="123"/>
      <c r="M37" s="123"/>
    </row>
    <row r="38" spans="1:13" ht="18" customHeight="1" x14ac:dyDescent="0.25">
      <c r="A38" s="2331" t="s">
        <v>1021</v>
      </c>
      <c r="B38" s="2331"/>
      <c r="C38" s="2331"/>
      <c r="D38" s="2331"/>
      <c r="E38" s="2331"/>
      <c r="F38" s="2331"/>
      <c r="G38" s="2331"/>
      <c r="H38" s="2331"/>
      <c r="I38" s="2331"/>
      <c r="J38" s="2331"/>
      <c r="K38" s="2331"/>
      <c r="L38" s="2331"/>
      <c r="M38" s="2331"/>
    </row>
    <row r="39" spans="1:13" x14ac:dyDescent="0.25">
      <c r="A39" s="124"/>
      <c r="B39" s="124"/>
      <c r="C39" s="124"/>
      <c r="D39" s="124"/>
      <c r="E39" s="124"/>
      <c r="F39" s="124"/>
      <c r="G39" s="124"/>
      <c r="H39" s="124"/>
      <c r="I39" s="124"/>
      <c r="J39" s="124"/>
      <c r="K39" s="124"/>
      <c r="L39" s="124"/>
      <c r="M39" s="124"/>
    </row>
    <row r="40" spans="1:13" x14ac:dyDescent="0.25">
      <c r="A40" s="124"/>
      <c r="B40" s="892" t="s">
        <v>1134</v>
      </c>
      <c r="C40" s="128"/>
      <c r="D40" s="128"/>
      <c r="E40" s="128"/>
      <c r="F40" s="124"/>
      <c r="G40" s="124"/>
      <c r="H40" s="124"/>
      <c r="I40" s="124"/>
      <c r="J40" s="124"/>
      <c r="K40" s="124"/>
      <c r="L40" s="124"/>
      <c r="M40" s="124"/>
    </row>
    <row r="41" spans="1:13" ht="18.75" customHeight="1" x14ac:dyDescent="0.25">
      <c r="A41" s="124"/>
      <c r="B41" s="128"/>
      <c r="C41" s="128"/>
      <c r="D41" s="128"/>
      <c r="E41" s="128"/>
      <c r="F41" s="124"/>
      <c r="G41" s="124"/>
      <c r="H41" s="124"/>
      <c r="I41" s="124"/>
      <c r="J41" s="124"/>
      <c r="K41" s="124"/>
      <c r="L41" s="124"/>
      <c r="M41" s="124"/>
    </row>
    <row r="42" spans="1:13" ht="15" customHeight="1" x14ac:dyDescent="0.25">
      <c r="A42" s="124"/>
      <c r="B42" s="1766" t="s">
        <v>1452</v>
      </c>
      <c r="C42" s="1767"/>
      <c r="D42" s="1767"/>
      <c r="E42" s="1767"/>
      <c r="F42" s="1767"/>
      <c r="G42" s="1767"/>
      <c r="H42" s="1767"/>
      <c r="I42" s="1767"/>
      <c r="J42" s="1767"/>
      <c r="K42" s="1768"/>
      <c r="L42" s="124"/>
      <c r="M42" s="124"/>
    </row>
    <row r="43" spans="1:13" ht="15" customHeight="1" x14ac:dyDescent="0.25">
      <c r="A43" s="124"/>
      <c r="B43" s="1726" t="s">
        <v>1715</v>
      </c>
      <c r="C43" s="1727"/>
      <c r="D43" s="1727"/>
      <c r="E43" s="1727"/>
      <c r="F43" s="1727"/>
      <c r="G43" s="1727"/>
      <c r="H43" s="1727"/>
      <c r="I43" s="1727"/>
      <c r="J43" s="1727"/>
      <c r="K43" s="1728"/>
      <c r="L43" s="124"/>
      <c r="M43" s="124"/>
    </row>
    <row r="44" spans="1:13" ht="15" customHeight="1" x14ac:dyDescent="0.25">
      <c r="A44" s="124"/>
      <c r="B44" s="2354" t="s">
        <v>1719</v>
      </c>
      <c r="C44" s="2355"/>
      <c r="D44" s="2355"/>
      <c r="E44" s="2355"/>
      <c r="F44" s="2355"/>
      <c r="G44" s="2355"/>
      <c r="H44" s="2355"/>
      <c r="I44" s="2355"/>
      <c r="J44" s="2355"/>
      <c r="K44" s="2356"/>
      <c r="L44" s="124"/>
      <c r="M44" s="124"/>
    </row>
    <row r="45" spans="1:13" ht="18.75" customHeight="1" x14ac:dyDescent="0.25">
      <c r="A45" s="124"/>
      <c r="B45" s="128"/>
      <c r="C45" s="128"/>
      <c r="D45" s="128"/>
      <c r="E45" s="128"/>
      <c r="F45" s="124"/>
      <c r="G45" s="124"/>
      <c r="H45" s="124"/>
      <c r="I45" s="124"/>
      <c r="J45" s="124"/>
      <c r="K45" s="124"/>
      <c r="L45" s="124"/>
      <c r="M45" s="124"/>
    </row>
    <row r="46" spans="1:13" x14ac:dyDescent="0.25">
      <c r="A46" s="124"/>
      <c r="B46" s="720" t="s">
        <v>1376</v>
      </c>
      <c r="C46" s="128"/>
      <c r="D46" s="128"/>
      <c r="E46" s="128"/>
      <c r="F46" s="124"/>
      <c r="G46" s="124"/>
      <c r="H46" s="124"/>
      <c r="I46" s="124"/>
      <c r="J46" s="124"/>
      <c r="K46" s="124"/>
      <c r="L46" s="124"/>
      <c r="M46" s="124"/>
    </row>
    <row r="47" spans="1:13" x14ac:dyDescent="0.25">
      <c r="A47" s="124"/>
      <c r="B47" s="128"/>
      <c r="C47" s="128"/>
      <c r="D47" s="128"/>
      <c r="E47" s="128"/>
      <c r="F47" s="124"/>
      <c r="G47" s="893"/>
      <c r="H47" s="124"/>
      <c r="I47" s="124"/>
      <c r="J47" s="124"/>
      <c r="K47" s="124"/>
      <c r="L47" s="124"/>
      <c r="M47" s="124"/>
    </row>
    <row r="48" spans="1:13" ht="18" customHeight="1" x14ac:dyDescent="0.25">
      <c r="A48" s="124"/>
      <c r="B48" s="1620" t="str">
        <f>IF('Project information'!$C$7="Full Certification stage","• Has a Green lease been signed?","• Will a Green lease be signed?")</f>
        <v>• Will a Green lease be signed?</v>
      </c>
      <c r="C48" s="1620"/>
      <c r="D48" s="1620"/>
      <c r="E48" s="809" t="s">
        <v>62</v>
      </c>
      <c r="F48" s="124"/>
      <c r="G48" s="124"/>
      <c r="H48" s="124"/>
      <c r="I48" s="124"/>
      <c r="J48" s="124"/>
      <c r="K48" s="124"/>
      <c r="L48" s="124"/>
      <c r="M48" s="124"/>
    </row>
    <row r="49" spans="1:14" ht="16.5" customHeight="1" x14ac:dyDescent="0.25">
      <c r="A49" s="124"/>
      <c r="B49" s="128"/>
      <c r="C49" s="128"/>
      <c r="D49" s="128"/>
      <c r="E49" s="128"/>
      <c r="F49" s="124"/>
      <c r="G49" s="124"/>
      <c r="H49" s="124"/>
      <c r="I49" s="124"/>
      <c r="J49" s="124"/>
      <c r="K49" s="124"/>
      <c r="L49" s="124"/>
      <c r="M49" s="124"/>
    </row>
    <row r="50" spans="1:14" ht="18" customHeight="1" x14ac:dyDescent="0.25">
      <c r="A50" s="124"/>
      <c r="B50" s="2334" t="str">
        <f>IF('Project information'!$C$7="Full Certification stage","Does the Green lease include the following?","Will the Green lease include the following?")</f>
        <v>Will the Green lease include the following?</v>
      </c>
      <c r="C50" s="2335"/>
      <c r="D50" s="2335"/>
      <c r="E50" s="2335"/>
      <c r="F50" s="2335"/>
      <c r="G50" s="124"/>
      <c r="H50" s="124"/>
      <c r="I50" s="124"/>
      <c r="J50" s="124"/>
      <c r="K50" s="124"/>
      <c r="L50" s="124"/>
      <c r="M50" s="124"/>
    </row>
    <row r="51" spans="1:14" ht="18" customHeight="1" x14ac:dyDescent="0.25">
      <c r="A51" s="124"/>
      <c r="B51" s="1620" t="s">
        <v>1715</v>
      </c>
      <c r="C51" s="1620"/>
      <c r="D51" s="1620"/>
      <c r="E51" s="1620"/>
      <c r="F51" s="850" t="s">
        <v>62</v>
      </c>
      <c r="G51" s="124"/>
      <c r="H51" s="124"/>
      <c r="I51" s="124"/>
      <c r="J51" s="124"/>
      <c r="K51" s="124"/>
      <c r="L51" s="124"/>
      <c r="M51" s="124"/>
    </row>
    <row r="52" spans="1:14" ht="18" customHeight="1" x14ac:dyDescent="0.25">
      <c r="A52" s="124"/>
      <c r="B52" s="1620" t="s">
        <v>1717</v>
      </c>
      <c r="C52" s="1620"/>
      <c r="D52" s="1620"/>
      <c r="E52" s="1620"/>
      <c r="F52" s="850" t="s">
        <v>62</v>
      </c>
      <c r="G52" s="124"/>
      <c r="H52" s="124"/>
      <c r="I52" s="124"/>
      <c r="J52" s="124"/>
      <c r="K52" s="124"/>
      <c r="L52" s="124"/>
      <c r="M52" s="124"/>
    </row>
    <row r="53" spans="1:14" ht="18" customHeight="1" x14ac:dyDescent="0.25">
      <c r="A53" s="124"/>
      <c r="B53" s="1620" t="s">
        <v>1716</v>
      </c>
      <c r="C53" s="1620"/>
      <c r="D53" s="1620"/>
      <c r="E53" s="1620"/>
      <c r="F53" s="850" t="s">
        <v>62</v>
      </c>
      <c r="G53" s="124"/>
      <c r="H53" s="124"/>
      <c r="I53" s="124"/>
      <c r="J53" s="124"/>
      <c r="K53" s="124"/>
      <c r="L53" s="124"/>
      <c r="M53" s="124"/>
    </row>
    <row r="54" spans="1:14" ht="18" customHeight="1" x14ac:dyDescent="0.25">
      <c r="A54" s="124"/>
      <c r="B54" s="1620" t="s">
        <v>1718</v>
      </c>
      <c r="C54" s="1620"/>
      <c r="D54" s="1620"/>
      <c r="E54" s="1620"/>
      <c r="F54" s="850" t="s">
        <v>62</v>
      </c>
      <c r="G54" s="124"/>
      <c r="H54" s="124"/>
      <c r="I54" s="124"/>
      <c r="J54" s="124"/>
      <c r="K54" s="124"/>
      <c r="L54" s="124"/>
      <c r="M54" s="124"/>
    </row>
    <row r="55" spans="1:14" ht="17.25" customHeight="1" x14ac:dyDescent="0.25">
      <c r="A55" s="124"/>
      <c r="B55" s="128"/>
      <c r="C55" s="128"/>
      <c r="D55" s="128"/>
      <c r="E55" s="128"/>
      <c r="F55" s="124"/>
      <c r="G55" s="124"/>
      <c r="H55" s="124"/>
      <c r="I55" s="124"/>
      <c r="J55" s="124"/>
      <c r="K55" s="124"/>
      <c r="L55" s="124"/>
      <c r="M55" s="124"/>
    </row>
    <row r="56" spans="1:14" ht="18" customHeight="1" x14ac:dyDescent="0.25">
      <c r="A56" s="124"/>
      <c r="B56" s="2352" t="s">
        <v>1135</v>
      </c>
      <c r="C56" s="2353"/>
      <c r="D56" s="157" t="str">
        <f>IF(AND(E48="Yes",COUNTIF(F51:F54,"Yes")=4),"Yes","No")</f>
        <v>No</v>
      </c>
      <c r="E56" s="128"/>
      <c r="F56" s="124"/>
      <c r="G56" s="124"/>
      <c r="H56" s="124"/>
      <c r="I56" s="124"/>
      <c r="J56" s="124"/>
      <c r="K56" s="124"/>
      <c r="L56" s="124"/>
      <c r="M56" s="124"/>
    </row>
    <row r="57" spans="1:14" ht="19.5" customHeight="1" x14ac:dyDescent="0.25">
      <c r="A57" s="124"/>
      <c r="B57" s="128"/>
      <c r="C57" s="128"/>
      <c r="D57" s="128"/>
      <c r="E57" s="128"/>
      <c r="F57" s="124"/>
      <c r="G57" s="124"/>
      <c r="H57" s="124"/>
      <c r="I57" s="124"/>
      <c r="J57" s="124"/>
      <c r="K57" s="124"/>
      <c r="L57" s="124"/>
      <c r="M57" s="124"/>
    </row>
    <row r="58" spans="1:14" ht="16.5" customHeight="1" x14ac:dyDescent="0.25">
      <c r="A58" s="2338" t="s">
        <v>97</v>
      </c>
      <c r="B58" s="2338"/>
      <c r="C58" s="128"/>
      <c r="D58" s="128"/>
      <c r="E58" s="128"/>
      <c r="F58" s="128"/>
      <c r="G58" s="128"/>
      <c r="H58" s="128"/>
      <c r="I58" s="128"/>
      <c r="J58" s="128"/>
      <c r="K58" s="128"/>
      <c r="L58" s="128"/>
      <c r="M58" s="128"/>
    </row>
    <row r="59" spans="1:14" x14ac:dyDescent="0.25">
      <c r="A59" s="124"/>
      <c r="B59" s="128"/>
      <c r="C59" s="128"/>
      <c r="D59" s="128"/>
      <c r="E59" s="124"/>
      <c r="F59" s="124"/>
      <c r="G59" s="124"/>
      <c r="H59" s="124"/>
      <c r="I59" s="124"/>
      <c r="J59" s="124"/>
      <c r="K59" s="124"/>
      <c r="L59" s="124"/>
      <c r="M59" s="124"/>
    </row>
    <row r="60" spans="1:14" ht="21" customHeight="1" x14ac:dyDescent="0.25">
      <c r="A60" s="124"/>
      <c r="B60" s="2334" t="s">
        <v>98</v>
      </c>
      <c r="C60" s="2335"/>
      <c r="D60" s="2335"/>
      <c r="E60" s="2335"/>
      <c r="F60" s="2335"/>
      <c r="G60" s="829" t="s">
        <v>1297</v>
      </c>
      <c r="H60" s="2336" t="s">
        <v>1298</v>
      </c>
      <c r="I60" s="2337"/>
      <c r="J60" s="845"/>
      <c r="K60" s="124"/>
      <c r="L60" s="124"/>
      <c r="M60" s="124"/>
    </row>
    <row r="61" spans="1:14" ht="39" customHeight="1" x14ac:dyDescent="0.25">
      <c r="A61" s="124"/>
      <c r="B61" s="1906" t="str">
        <f>Submittals!H151</f>
        <v>Select the Submission Stage in Project Information</v>
      </c>
      <c r="C61" s="1907"/>
      <c r="D61" s="1907"/>
      <c r="E61" s="1907"/>
      <c r="F61" s="2205"/>
      <c r="G61" s="1253" t="s">
        <v>62</v>
      </c>
      <c r="H61" s="1625"/>
      <c r="I61" s="1626"/>
      <c r="J61" s="124"/>
      <c r="K61" s="124"/>
      <c r="L61" s="124"/>
      <c r="M61" s="124"/>
      <c r="N61" s="37" t="str">
        <f>IF(OR(B61="/",B61="No evidence required at this submission stage"),"Yes",IF(OR(G61="Already approved at PC",G61="Submitted"),"Yes","No"))</f>
        <v>No</v>
      </c>
    </row>
    <row r="62" spans="1:14" ht="18" customHeight="1" x14ac:dyDescent="0.25">
      <c r="A62" s="124"/>
      <c r="B62" s="128"/>
      <c r="C62" s="128"/>
      <c r="D62" s="128"/>
      <c r="E62" s="128"/>
      <c r="F62" s="124"/>
      <c r="G62" s="846"/>
      <c r="H62" s="124"/>
      <c r="I62" s="124"/>
      <c r="J62" s="124"/>
      <c r="K62" s="124"/>
      <c r="L62" s="124"/>
      <c r="M62" s="124"/>
    </row>
    <row r="63" spans="1:14" ht="16.5" customHeight="1" x14ac:dyDescent="0.25">
      <c r="A63" s="2338" t="s">
        <v>8</v>
      </c>
      <c r="B63" s="2338"/>
      <c r="C63" s="128"/>
      <c r="D63" s="128"/>
      <c r="E63" s="128"/>
      <c r="F63" s="124"/>
      <c r="G63" s="124"/>
      <c r="H63" s="124"/>
      <c r="I63" s="124"/>
      <c r="J63" s="124"/>
      <c r="K63" s="124"/>
      <c r="L63" s="124"/>
      <c r="M63" s="124"/>
    </row>
    <row r="64" spans="1:14" x14ac:dyDescent="0.25">
      <c r="A64" s="124"/>
      <c r="B64" s="128"/>
      <c r="C64" s="128"/>
      <c r="D64" s="128"/>
      <c r="E64" s="128"/>
      <c r="F64" s="124"/>
      <c r="G64" s="124"/>
      <c r="H64" s="124"/>
      <c r="I64" s="124"/>
      <c r="J64" s="124"/>
      <c r="K64" s="124"/>
      <c r="L64" s="124"/>
      <c r="M64" s="124"/>
    </row>
    <row r="65" spans="1:13" ht="18" customHeight="1" x14ac:dyDescent="0.25">
      <c r="A65" s="124"/>
      <c r="B65" s="144" t="s">
        <v>19</v>
      </c>
      <c r="C65" s="8">
        <f>IF(D56="Yes",1,0)</f>
        <v>0</v>
      </c>
      <c r="D65" s="128"/>
      <c r="E65" s="128"/>
      <c r="F65" s="124"/>
      <c r="G65" s="124"/>
      <c r="H65" s="124"/>
      <c r="I65" s="124"/>
      <c r="J65" s="124"/>
      <c r="K65" s="124"/>
      <c r="L65" s="124"/>
      <c r="M65" s="124"/>
    </row>
    <row r="66" spans="1:13" ht="18" customHeight="1" x14ac:dyDescent="0.25">
      <c r="A66" s="124"/>
      <c r="B66" s="147" t="s">
        <v>151</v>
      </c>
      <c r="C66" s="7" t="str">
        <f>IF(AND(N61="Yes",C65&gt;0),"Yes","No")</f>
        <v>No</v>
      </c>
      <c r="D66" s="124"/>
      <c r="E66" s="124"/>
      <c r="F66" s="124"/>
      <c r="G66" s="124"/>
      <c r="H66" s="124"/>
      <c r="I66" s="124"/>
      <c r="J66" s="124"/>
      <c r="K66" s="124"/>
      <c r="L66" s="124"/>
      <c r="M66" s="124"/>
    </row>
    <row r="67" spans="1:13" x14ac:dyDescent="0.25">
      <c r="A67" s="124"/>
      <c r="B67" s="128"/>
      <c r="C67" s="128"/>
      <c r="D67" s="128"/>
      <c r="E67" s="128"/>
      <c r="F67" s="124"/>
      <c r="G67" s="124"/>
      <c r="H67" s="124"/>
      <c r="I67" s="124"/>
      <c r="J67" s="124"/>
      <c r="K67" s="124"/>
      <c r="L67" s="124"/>
      <c r="M67" s="124"/>
    </row>
    <row r="68" spans="1:13" ht="15" hidden="1" customHeight="1" x14ac:dyDescent="0.25"/>
    <row r="69" spans="1:13" ht="15" hidden="1" customHeight="1" x14ac:dyDescent="0.25"/>
    <row r="70" spans="1:13" ht="15" hidden="1" customHeight="1" x14ac:dyDescent="0.25"/>
    <row r="71" spans="1:13" ht="15" hidden="1" customHeight="1" x14ac:dyDescent="0.25"/>
    <row r="72" spans="1:13" ht="15" hidden="1" customHeight="1" x14ac:dyDescent="0.25"/>
    <row r="73" spans="1:13" ht="15" hidden="1" customHeight="1" x14ac:dyDescent="0.25"/>
    <row r="74" spans="1:13" ht="15" hidden="1" customHeight="1" x14ac:dyDescent="0.25"/>
    <row r="75" spans="1:13" ht="15" hidden="1" customHeight="1" x14ac:dyDescent="0.25"/>
    <row r="76" spans="1:13" ht="15" hidden="1" customHeight="1" x14ac:dyDescent="0.25"/>
    <row r="77" spans="1:13" ht="15" hidden="1" customHeight="1" x14ac:dyDescent="0.25"/>
    <row r="78" spans="1:13" ht="15" hidden="1" customHeight="1" x14ac:dyDescent="0.25"/>
    <row r="79" spans="1:13" ht="15" hidden="1" customHeight="1" x14ac:dyDescent="0.25"/>
    <row r="80" spans="1:13"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sheetData>
  <sheetProtection algorithmName="SHA-512" hashValue="5vdCGA96Diy+N4V1zbwYyZ8cpxZ6gWpZOz2+i3D0II6HNTRyGV1LKJxMLwhj6/qRB/y0ar/LvfWunfn9U0/puQ==" saltValue="Ef72B3iB0h5pSPYUTpkD9A==" spinCount="100000" sheet="1" objects="1" scenarios="1"/>
  <mergeCells count="35">
    <mergeCell ref="B30:F30"/>
    <mergeCell ref="B44:K44"/>
    <mergeCell ref="B43:K43"/>
    <mergeCell ref="B42:K42"/>
    <mergeCell ref="A33:B33"/>
    <mergeCell ref="H30:I30"/>
    <mergeCell ref="H31:I31"/>
    <mergeCell ref="A38:M38"/>
    <mergeCell ref="B31:F31"/>
    <mergeCell ref="B15:E15"/>
    <mergeCell ref="B24:D24"/>
    <mergeCell ref="B26:C26"/>
    <mergeCell ref="A28:B28"/>
    <mergeCell ref="A17:M17"/>
    <mergeCell ref="B13:E13"/>
    <mergeCell ref="B14:E14"/>
    <mergeCell ref="B11:C11"/>
    <mergeCell ref="D11:E11"/>
    <mergeCell ref="A9:M9"/>
    <mergeCell ref="A1:M1"/>
    <mergeCell ref="H60:I60"/>
    <mergeCell ref="H61:I61"/>
    <mergeCell ref="A58:B58"/>
    <mergeCell ref="A63:B63"/>
    <mergeCell ref="B48:D48"/>
    <mergeCell ref="B61:F61"/>
    <mergeCell ref="B60:F60"/>
    <mergeCell ref="B50:F50"/>
    <mergeCell ref="B51:E51"/>
    <mergeCell ref="B52:E52"/>
    <mergeCell ref="B54:E54"/>
    <mergeCell ref="B53:E53"/>
    <mergeCell ref="B56:C56"/>
    <mergeCell ref="I2:L4"/>
    <mergeCell ref="A5:M7"/>
  </mergeCells>
  <conditionalFormatting sqref="H61">
    <cfRule type="expression" dxfId="144" priority="9">
      <formula>$B61="No evidence required at this submission stage"</formula>
    </cfRule>
    <cfRule type="expression" dxfId="143" priority="10">
      <formula>$B61="/"</formula>
    </cfRule>
  </conditionalFormatting>
  <conditionalFormatting sqref="H31">
    <cfRule type="expression" dxfId="142" priority="5">
      <formula>$B31="No evidence required at this submission stage"</formula>
    </cfRule>
    <cfRule type="expression" dxfId="141" priority="6">
      <formula>$B31="/"</formula>
    </cfRule>
  </conditionalFormatting>
  <conditionalFormatting sqref="G61">
    <cfRule type="expression" dxfId="140" priority="3">
      <formula>$B61="/"</formula>
    </cfRule>
    <cfRule type="expression" dxfId="139" priority="4">
      <formula>$B61="No evidence required at this submission stage"</formula>
    </cfRule>
  </conditionalFormatting>
  <conditionalFormatting sqref="G31">
    <cfRule type="expression" dxfId="138" priority="1">
      <formula>$B31="/"</formula>
    </cfRule>
    <cfRule type="expression" dxfId="137" priority="2">
      <formula>$B31="No evidence required at this submission stage"</formula>
    </cfRule>
  </conditionalFormatting>
  <dataValidations count="4">
    <dataValidation type="list" allowBlank="1" showInputMessage="1" showErrorMessage="1" sqref="D11:E11">
      <formula1>"Select,Option A: Long-term lease,Option B: Green lease"</formula1>
    </dataValidation>
    <dataValidation type="whole" allowBlank="1" showInputMessage="1" showErrorMessage="1" error="Enter the fixed term period of the lease (in years)" prompt="Enter the fixed term period of the lease (in years)" sqref="E24">
      <formula1>0</formula1>
      <formula2>100</formula2>
    </dataValidation>
    <dataValidation type="list" allowBlank="1" showInputMessage="1" showErrorMessage="1" sqref="E48 F51:F54">
      <formula1>"Select,Yes,No"</formula1>
    </dataValidation>
    <dataValidation type="list" allowBlank="1" showInputMessage="1" showErrorMessage="1" sqref="G61 G31">
      <formula1>Sub_FC</formula1>
    </dataValidation>
  </dataValidations>
  <hyperlinks>
    <hyperlink ref="M2" location="'LT-1 Base building '!B3" tooltip="LT-1" display="LT-1"/>
    <hyperlink ref="M4" location="'LT-4 Facilities and amenities '!B3" tooltip="LT-4" display="LT-4"/>
    <hyperlink ref="M3" location="'LT-3 Green Transportation '!B3" tooltip="LT-3" display="LT-3"/>
  </hyperlink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6923C"/>
  </sheetPr>
  <dimension ref="A1:P208"/>
  <sheetViews>
    <sheetView showRowColHeaders="0" workbookViewId="0">
      <pane ySplit="8" topLeftCell="A9" activePane="bottomLeft" state="frozen"/>
      <selection activeCell="I2" sqref="I2:J4"/>
      <selection pane="bottomLeft" activeCell="H21" sqref="H21"/>
    </sheetView>
  </sheetViews>
  <sheetFormatPr defaultColWidth="0" defaultRowHeight="15" zeroHeight="1" x14ac:dyDescent="0.25"/>
  <cols>
    <col min="1" max="1" width="3.7109375" style="37" customWidth="1"/>
    <col min="2" max="2" width="19.85546875" style="37" customWidth="1"/>
    <col min="3" max="3" width="19.42578125" style="37" customWidth="1"/>
    <col min="4" max="4" width="19" style="37" customWidth="1"/>
    <col min="5" max="5" width="18.42578125" style="37" customWidth="1"/>
    <col min="6" max="6" width="17.28515625" style="37" customWidth="1"/>
    <col min="7" max="7" width="17.42578125" style="37" customWidth="1"/>
    <col min="8" max="8" width="21.7109375" style="37" customWidth="1"/>
    <col min="9" max="9" width="15.42578125" style="37" customWidth="1"/>
    <col min="10" max="10" width="12" style="37" customWidth="1"/>
    <col min="11" max="12" width="9.28515625" style="37" customWidth="1"/>
    <col min="13" max="13" width="8.85546875" style="37" customWidth="1"/>
    <col min="14" max="14" width="9.140625" style="37" hidden="1" customWidth="1"/>
    <col min="15" max="15" width="23.7109375" style="37" hidden="1" customWidth="1"/>
    <col min="16" max="16" width="15.28515625" style="37" hidden="1" customWidth="1"/>
    <col min="17" max="16384" width="9.140625" style="37" hidden="1"/>
  </cols>
  <sheetData>
    <row r="1" spans="1:14" ht="23.25" x14ac:dyDescent="0.25">
      <c r="A1" s="2341" t="s">
        <v>356</v>
      </c>
      <c r="B1" s="2341"/>
      <c r="C1" s="2341"/>
      <c r="D1" s="2341"/>
      <c r="E1" s="2341"/>
      <c r="F1" s="2341"/>
      <c r="G1" s="2341"/>
      <c r="H1" s="2341"/>
      <c r="I1" s="2341"/>
      <c r="J1" s="2341"/>
      <c r="K1" s="2341"/>
      <c r="L1" s="2341"/>
      <c r="M1" s="2341"/>
    </row>
    <row r="2" spans="1:14" ht="15" customHeight="1" x14ac:dyDescent="0.25">
      <c r="A2" s="48"/>
      <c r="B2" s="49"/>
      <c r="C2" s="49"/>
      <c r="D2" s="49"/>
      <c r="E2" s="49"/>
      <c r="F2" s="48"/>
      <c r="G2" s="48"/>
      <c r="H2" s="48"/>
      <c r="I2" s="1694" t="s">
        <v>357</v>
      </c>
      <c r="J2" s="1694"/>
      <c r="K2" s="1694"/>
      <c r="L2" s="1694"/>
      <c r="M2" s="141" t="s">
        <v>345</v>
      </c>
    </row>
    <row r="3" spans="1:14" ht="15" customHeight="1" x14ac:dyDescent="0.25">
      <c r="A3" s="48"/>
      <c r="B3" s="49"/>
      <c r="C3" s="49"/>
      <c r="D3" s="49"/>
      <c r="E3" s="49"/>
      <c r="F3" s="48"/>
      <c r="G3" s="48"/>
      <c r="H3" s="48"/>
      <c r="I3" s="1694"/>
      <c r="J3" s="1694"/>
      <c r="K3" s="1694"/>
      <c r="L3" s="1694"/>
      <c r="M3" s="141" t="s">
        <v>346</v>
      </c>
    </row>
    <row r="4" spans="1:14" ht="15" customHeight="1" x14ac:dyDescent="0.25">
      <c r="A4" s="48"/>
      <c r="B4" s="49"/>
      <c r="C4" s="49"/>
      <c r="D4" s="49"/>
      <c r="E4" s="49"/>
      <c r="F4" s="48"/>
      <c r="G4" s="48"/>
      <c r="H4" s="48"/>
      <c r="I4" s="2320"/>
      <c r="J4" s="2320"/>
      <c r="K4" s="2320"/>
      <c r="L4" s="2320"/>
      <c r="M4" s="141" t="s">
        <v>348</v>
      </c>
    </row>
    <row r="5" spans="1:14" ht="21" customHeight="1" x14ac:dyDescent="0.25">
      <c r="A5" s="2321" t="s">
        <v>2846</v>
      </c>
      <c r="B5" s="2322"/>
      <c r="C5" s="2322"/>
      <c r="D5" s="2322"/>
      <c r="E5" s="2322"/>
      <c r="F5" s="2322"/>
      <c r="G5" s="2322"/>
      <c r="H5" s="2322"/>
      <c r="I5" s="2322"/>
      <c r="J5" s="2322"/>
      <c r="K5" s="2322"/>
      <c r="L5" s="2322"/>
      <c r="M5" s="2323"/>
    </row>
    <row r="6" spans="1:14" ht="21" customHeight="1" x14ac:dyDescent="0.25">
      <c r="A6" s="2324"/>
      <c r="B6" s="1708"/>
      <c r="C6" s="1708"/>
      <c r="D6" s="1708"/>
      <c r="E6" s="1708"/>
      <c r="F6" s="1708"/>
      <c r="G6" s="1708"/>
      <c r="H6" s="1708"/>
      <c r="I6" s="1708"/>
      <c r="J6" s="1708"/>
      <c r="K6" s="1708"/>
      <c r="L6" s="1708"/>
      <c r="M6" s="2325"/>
    </row>
    <row r="7" spans="1:14" ht="21" customHeight="1" x14ac:dyDescent="0.25">
      <c r="A7" s="2326"/>
      <c r="B7" s="2327"/>
      <c r="C7" s="2327"/>
      <c r="D7" s="2327"/>
      <c r="E7" s="2327"/>
      <c r="F7" s="2327"/>
      <c r="G7" s="2327"/>
      <c r="H7" s="2327"/>
      <c r="I7" s="2327"/>
      <c r="J7" s="2327"/>
      <c r="K7" s="2327"/>
      <c r="L7" s="2327"/>
      <c r="M7" s="2328"/>
    </row>
    <row r="8" spans="1:14" ht="12" customHeight="1" x14ac:dyDescent="0.25">
      <c r="A8" s="49"/>
      <c r="B8" s="49"/>
      <c r="C8" s="49"/>
      <c r="D8" s="49"/>
      <c r="E8" s="49"/>
      <c r="F8" s="48"/>
      <c r="G8" s="48"/>
      <c r="H8" s="48"/>
      <c r="I8" s="48"/>
      <c r="J8" s="48"/>
      <c r="K8" s="48"/>
      <c r="L8" s="48"/>
      <c r="M8" s="48"/>
    </row>
    <row r="9" spans="1:14" ht="18" customHeight="1" x14ac:dyDescent="0.25">
      <c r="A9" s="2331" t="s">
        <v>95</v>
      </c>
      <c r="B9" s="2331"/>
      <c r="C9" s="2331"/>
      <c r="D9" s="2331"/>
      <c r="E9" s="2331"/>
      <c r="F9" s="2331"/>
      <c r="G9" s="2331"/>
      <c r="H9" s="2331"/>
      <c r="I9" s="2331"/>
      <c r="J9" s="2331"/>
      <c r="K9" s="2331"/>
      <c r="L9" s="2331"/>
      <c r="M9" s="2331"/>
    </row>
    <row r="10" spans="1:14" x14ac:dyDescent="0.25">
      <c r="A10" s="48"/>
      <c r="B10" s="49"/>
      <c r="C10" s="49"/>
      <c r="D10" s="49"/>
      <c r="E10" s="49"/>
      <c r="F10" s="48"/>
      <c r="G10" s="48"/>
      <c r="H10" s="48"/>
      <c r="I10" s="48"/>
      <c r="J10" s="48"/>
      <c r="K10" s="48"/>
      <c r="L10" s="48"/>
      <c r="M10" s="48"/>
    </row>
    <row r="11" spans="1:14" ht="24" customHeight="1" x14ac:dyDescent="0.25">
      <c r="A11" s="48"/>
      <c r="B11" s="2359" t="s">
        <v>359</v>
      </c>
      <c r="C11" s="2359"/>
      <c r="D11" s="2359"/>
      <c r="E11" s="2359"/>
      <c r="F11" s="2329"/>
      <c r="G11" s="539" t="s">
        <v>360</v>
      </c>
      <c r="H11" s="54" t="s">
        <v>151</v>
      </c>
      <c r="I11" s="48"/>
      <c r="J11" s="48"/>
      <c r="K11" s="48"/>
      <c r="L11" s="48"/>
      <c r="M11" s="48"/>
    </row>
    <row r="12" spans="1:14" ht="28.5" customHeight="1" x14ac:dyDescent="0.25">
      <c r="A12" s="48"/>
      <c r="B12" s="2360" t="s">
        <v>864</v>
      </c>
      <c r="C12" s="2360"/>
      <c r="D12" s="2360"/>
      <c r="E12" s="2360"/>
      <c r="F12" s="2360"/>
      <c r="G12" s="649" t="str">
        <f>C44</f>
        <v>No</v>
      </c>
      <c r="H12" s="548" t="str">
        <f>C45</f>
        <v>No</v>
      </c>
      <c r="I12" s="48"/>
      <c r="J12" s="48"/>
      <c r="K12" s="48"/>
      <c r="L12" s="48"/>
      <c r="M12" s="48"/>
    </row>
    <row r="13" spans="1:14" ht="15.75" customHeight="1" x14ac:dyDescent="0.25">
      <c r="A13" s="48"/>
      <c r="B13" s="48"/>
      <c r="C13" s="48"/>
      <c r="D13" s="48"/>
      <c r="E13" s="48"/>
      <c r="F13" s="48"/>
      <c r="G13" s="48"/>
      <c r="H13" s="48"/>
      <c r="I13" s="48"/>
      <c r="J13" s="48"/>
      <c r="K13" s="48"/>
      <c r="L13" s="48"/>
      <c r="M13" s="48"/>
    </row>
    <row r="14" spans="1:14" ht="24" customHeight="1" x14ac:dyDescent="0.25">
      <c r="A14" s="48"/>
      <c r="B14" s="2329" t="s">
        <v>358</v>
      </c>
      <c r="C14" s="2330"/>
      <c r="D14" s="2330"/>
      <c r="E14" s="2330"/>
      <c r="F14" s="539" t="s">
        <v>75</v>
      </c>
      <c r="G14" s="539" t="s">
        <v>19</v>
      </c>
      <c r="H14" s="54" t="s">
        <v>151</v>
      </c>
      <c r="I14" s="48"/>
      <c r="J14" s="48"/>
      <c r="K14" s="48"/>
      <c r="L14" s="48"/>
      <c r="M14" s="48"/>
    </row>
    <row r="15" spans="1:14" ht="38.25" customHeight="1" x14ac:dyDescent="0.25">
      <c r="A15" s="48"/>
      <c r="B15" s="1742" t="s">
        <v>364</v>
      </c>
      <c r="C15" s="1743"/>
      <c r="D15" s="1743"/>
      <c r="E15" s="1744"/>
      <c r="F15" s="312">
        <v>1</v>
      </c>
      <c r="G15" s="312">
        <f>C69</f>
        <v>0</v>
      </c>
      <c r="H15" s="312" t="str">
        <f>C70</f>
        <v>No</v>
      </c>
      <c r="I15" s="48"/>
      <c r="J15" s="48"/>
      <c r="K15" s="48"/>
      <c r="L15" s="48"/>
      <c r="M15" s="48"/>
      <c r="N15" s="37" t="str">
        <f>IF(G15&lt;&gt;0,IF(H15="No","No","Yes"),"Yes")</f>
        <v>Yes</v>
      </c>
    </row>
    <row r="16" spans="1:14" ht="39" customHeight="1" x14ac:dyDescent="0.25">
      <c r="A16" s="48"/>
      <c r="B16" s="1742" t="s">
        <v>363</v>
      </c>
      <c r="C16" s="1743"/>
      <c r="D16" s="1743"/>
      <c r="E16" s="1744"/>
      <c r="F16" s="53">
        <v>1</v>
      </c>
      <c r="G16" s="53">
        <f>C98</f>
        <v>0</v>
      </c>
      <c r="H16" s="53" t="str">
        <f>C70</f>
        <v>No</v>
      </c>
      <c r="I16" s="48"/>
      <c r="J16" s="48"/>
      <c r="K16" s="48"/>
      <c r="L16" s="48"/>
      <c r="M16" s="48"/>
      <c r="N16" s="37" t="str">
        <f t="shared" ref="N16:N19" si="0">IF(G16&lt;&gt;0,IF(H16="No","No","Yes"),"Yes")</f>
        <v>Yes</v>
      </c>
    </row>
    <row r="17" spans="1:14" ht="30" customHeight="1" x14ac:dyDescent="0.25">
      <c r="A17" s="48"/>
      <c r="B17" s="1742" t="s">
        <v>362</v>
      </c>
      <c r="C17" s="1743"/>
      <c r="D17" s="1743"/>
      <c r="E17" s="1744"/>
      <c r="F17" s="53">
        <v>1</v>
      </c>
      <c r="G17" s="53">
        <f>C130</f>
        <v>0</v>
      </c>
      <c r="H17" s="53" t="str">
        <f>C99</f>
        <v>No</v>
      </c>
      <c r="I17" s="48"/>
      <c r="J17" s="48"/>
      <c r="K17" s="48"/>
      <c r="L17" s="48"/>
      <c r="M17" s="48"/>
      <c r="N17" s="37" t="str">
        <f t="shared" si="0"/>
        <v>Yes</v>
      </c>
    </row>
    <row r="18" spans="1:14" ht="28.5" customHeight="1" x14ac:dyDescent="0.25">
      <c r="A18" s="48"/>
      <c r="B18" s="1742" t="s">
        <v>1928</v>
      </c>
      <c r="C18" s="1743"/>
      <c r="D18" s="1743"/>
      <c r="E18" s="1744"/>
      <c r="F18" s="53">
        <v>1</v>
      </c>
      <c r="G18" s="53">
        <f>C156</f>
        <v>0</v>
      </c>
      <c r="H18" s="53" t="str">
        <f>C131</f>
        <v>No</v>
      </c>
      <c r="I18" s="48"/>
      <c r="J18" s="48"/>
      <c r="K18" s="48"/>
      <c r="L18" s="48"/>
      <c r="M18" s="48"/>
      <c r="N18" s="37" t="str">
        <f t="shared" si="0"/>
        <v>Yes</v>
      </c>
    </row>
    <row r="19" spans="1:14" ht="28.5" customHeight="1" x14ac:dyDescent="0.25">
      <c r="A19" s="48"/>
      <c r="B19" s="1742" t="s">
        <v>361</v>
      </c>
      <c r="C19" s="1743"/>
      <c r="D19" s="1743"/>
      <c r="E19" s="1744"/>
      <c r="F19" s="312">
        <v>1</v>
      </c>
      <c r="G19" s="312">
        <f>C184</f>
        <v>0</v>
      </c>
      <c r="H19" s="312" t="str">
        <f>C185</f>
        <v>No</v>
      </c>
      <c r="I19" s="48"/>
      <c r="J19" s="48"/>
      <c r="K19" s="48"/>
      <c r="L19" s="48"/>
      <c r="M19" s="48"/>
      <c r="N19" s="37" t="str">
        <f t="shared" si="0"/>
        <v>Yes</v>
      </c>
    </row>
    <row r="20" spans="1:14" ht="19.5" customHeight="1" x14ac:dyDescent="0.25">
      <c r="A20" s="48"/>
      <c r="B20" s="1713" t="s">
        <v>29</v>
      </c>
      <c r="C20" s="1740"/>
      <c r="D20" s="1740"/>
      <c r="E20" s="1741"/>
      <c r="F20" s="612">
        <v>3</v>
      </c>
      <c r="G20" s="612">
        <f>MIN(3,SUM(G15:G19))</f>
        <v>0</v>
      </c>
      <c r="H20" s="612" t="str">
        <f>IF(COUNTIF(H15:H19,"No")=5,"No",IF(COUNTIF(N15:N19,"Yes")=5,"Yes","No"))</f>
        <v>No</v>
      </c>
      <c r="I20" s="48"/>
      <c r="J20" s="48"/>
      <c r="K20" s="48"/>
      <c r="L20" s="48"/>
      <c r="M20" s="48"/>
    </row>
    <row r="21" spans="1:14" ht="21" customHeight="1" x14ac:dyDescent="0.25">
      <c r="A21" s="48"/>
      <c r="B21" s="49"/>
      <c r="C21" s="49"/>
      <c r="D21" s="49"/>
      <c r="E21" s="49"/>
      <c r="F21" s="48"/>
      <c r="G21" s="48"/>
      <c r="H21" s="48"/>
      <c r="I21" s="48"/>
      <c r="J21" s="48"/>
      <c r="K21" s="48"/>
      <c r="L21" s="48"/>
      <c r="M21" s="48"/>
    </row>
    <row r="22" spans="1:14" ht="18" customHeight="1" x14ac:dyDescent="0.25">
      <c r="A22" s="2331" t="s">
        <v>575</v>
      </c>
      <c r="B22" s="2331"/>
      <c r="C22" s="2331"/>
      <c r="D22" s="2331"/>
      <c r="E22" s="2331"/>
      <c r="F22" s="2331"/>
      <c r="G22" s="2331"/>
      <c r="H22" s="2331"/>
      <c r="I22" s="2331"/>
      <c r="J22" s="2331"/>
      <c r="K22" s="2331"/>
      <c r="L22" s="2331"/>
      <c r="M22" s="2331"/>
    </row>
    <row r="23" spans="1:14" x14ac:dyDescent="0.25">
      <c r="A23" s="48"/>
      <c r="B23" s="49"/>
      <c r="C23" s="49"/>
      <c r="D23" s="49"/>
      <c r="E23" s="49"/>
      <c r="F23" s="48"/>
      <c r="G23" s="48"/>
      <c r="H23" s="48"/>
      <c r="I23" s="48"/>
      <c r="J23" s="48"/>
      <c r="K23" s="48"/>
      <c r="L23" s="48"/>
      <c r="M23" s="48"/>
    </row>
    <row r="24" spans="1:14" ht="16.5" customHeight="1" x14ac:dyDescent="0.25">
      <c r="A24" s="2338" t="s">
        <v>117</v>
      </c>
      <c r="B24" s="2338"/>
      <c r="C24" s="2338"/>
      <c r="D24" s="49"/>
      <c r="E24" s="49"/>
      <c r="F24" s="48"/>
      <c r="G24" s="48"/>
      <c r="H24" s="48"/>
      <c r="I24" s="48"/>
      <c r="J24" s="48"/>
      <c r="K24" s="48"/>
      <c r="L24" s="48"/>
      <c r="M24" s="48"/>
    </row>
    <row r="25" spans="1:14" x14ac:dyDescent="0.25">
      <c r="A25" s="48"/>
      <c r="B25" s="49"/>
      <c r="C25" s="49"/>
      <c r="D25" s="49"/>
      <c r="E25" s="49"/>
      <c r="F25" s="48"/>
      <c r="G25" s="48"/>
      <c r="H25" s="48"/>
      <c r="I25" s="48"/>
      <c r="J25" s="48"/>
      <c r="K25" s="48"/>
      <c r="L25" s="48"/>
      <c r="M25" s="48"/>
    </row>
    <row r="26" spans="1:14" x14ac:dyDescent="0.25">
      <c r="A26" s="48"/>
      <c r="B26" s="816" t="s">
        <v>865</v>
      </c>
      <c r="C26" s="49"/>
      <c r="D26" s="49"/>
      <c r="E26" s="49"/>
      <c r="F26" s="48"/>
      <c r="G26" s="48"/>
      <c r="H26" s="48"/>
      <c r="I26" s="48"/>
      <c r="J26" s="48"/>
      <c r="K26" s="48"/>
      <c r="L26" s="48"/>
      <c r="M26" s="48"/>
    </row>
    <row r="27" spans="1:14" ht="18.75" customHeight="1" x14ac:dyDescent="0.25">
      <c r="A27" s="48"/>
      <c r="B27" s="49"/>
      <c r="C27" s="49"/>
      <c r="D27" s="49"/>
      <c r="E27" s="49"/>
      <c r="F27" s="49"/>
      <c r="G27" s="48"/>
      <c r="H27" s="48"/>
      <c r="I27" s="48"/>
      <c r="J27" s="48"/>
      <c r="K27" s="48"/>
      <c r="L27" s="48"/>
      <c r="M27" s="48"/>
    </row>
    <row r="28" spans="1:14" x14ac:dyDescent="0.25">
      <c r="A28" s="48"/>
      <c r="B28" s="671" t="s">
        <v>1343</v>
      </c>
      <c r="C28" s="49"/>
      <c r="D28" s="49"/>
      <c r="E28" s="49"/>
      <c r="F28" s="49"/>
      <c r="G28" s="48"/>
      <c r="H28" s="48"/>
      <c r="I28" s="48"/>
      <c r="J28" s="48"/>
      <c r="K28" s="48"/>
      <c r="L28" s="48"/>
      <c r="M28" s="48"/>
    </row>
    <row r="29" spans="1:14" ht="12" customHeight="1" x14ac:dyDescent="0.25">
      <c r="A29" s="48"/>
      <c r="B29" s="49"/>
      <c r="C29" s="49"/>
      <c r="D29" s="49"/>
      <c r="E29" s="552"/>
      <c r="F29" s="48"/>
      <c r="G29" s="48"/>
      <c r="H29" s="48"/>
      <c r="I29" s="48"/>
      <c r="J29" s="48"/>
      <c r="K29" s="48"/>
      <c r="L29" s="48"/>
      <c r="M29" s="48"/>
    </row>
    <row r="30" spans="1:14" ht="16.5" customHeight="1" x14ac:dyDescent="0.25">
      <c r="A30" s="48"/>
      <c r="B30" s="2001" t="str">
        <f>IF('Project information'!$C$7="Full Certification stage","• Is collective transportation information displayed to occupants?","• Will collective transportation information be displayed to occupants?")</f>
        <v>• Will collective transportation information be displayed to occupants?</v>
      </c>
      <c r="C30" s="2002"/>
      <c r="D30" s="2003"/>
      <c r="E30" s="535" t="s">
        <v>62</v>
      </c>
      <c r="F30" s="401" t="s">
        <v>866</v>
      </c>
      <c r="G30" s="2167"/>
      <c r="H30" s="2168"/>
      <c r="I30" s="2169"/>
      <c r="J30" s="48"/>
      <c r="K30" s="48"/>
      <c r="L30" s="48"/>
      <c r="M30" s="48"/>
    </row>
    <row r="31" spans="1:14" ht="16.5" customHeight="1" x14ac:dyDescent="0.25">
      <c r="A31" s="48"/>
      <c r="B31" s="2001" t="str">
        <f>IF('Project information'!$C$7="Full Certification stage","• Does the information include routes and schedules?","• Will the information include routes and schedules?")</f>
        <v>• Will the information include routes and schedules?</v>
      </c>
      <c r="C31" s="2002"/>
      <c r="D31" s="2003"/>
      <c r="E31" s="535" t="s">
        <v>62</v>
      </c>
      <c r="F31" s="48"/>
      <c r="G31" s="48"/>
      <c r="H31" s="48"/>
      <c r="I31" s="48"/>
      <c r="J31" s="48"/>
      <c r="K31" s="48"/>
      <c r="L31" s="48"/>
      <c r="M31" s="48"/>
    </row>
    <row r="32" spans="1:14" ht="16.5" customHeight="1" x14ac:dyDescent="0.25">
      <c r="A32" s="48"/>
      <c r="B32" s="2001" t="s">
        <v>1344</v>
      </c>
      <c r="C32" s="2002"/>
      <c r="D32" s="2003"/>
      <c r="E32" s="535" t="s">
        <v>62</v>
      </c>
      <c r="F32" s="48"/>
      <c r="G32" s="48"/>
      <c r="H32" s="48"/>
      <c r="I32" s="48"/>
      <c r="J32" s="48"/>
      <c r="K32" s="48"/>
      <c r="L32" s="48"/>
      <c r="M32" s="48"/>
    </row>
    <row r="33" spans="1:14" x14ac:dyDescent="0.25">
      <c r="A33" s="48"/>
      <c r="B33" s="49"/>
      <c r="C33" s="49"/>
      <c r="D33" s="49"/>
      <c r="E33" s="49"/>
      <c r="F33" s="48"/>
      <c r="G33" s="48"/>
      <c r="H33" s="48"/>
      <c r="I33" s="48"/>
      <c r="J33" s="48"/>
      <c r="K33" s="48"/>
      <c r="L33" s="48"/>
      <c r="M33" s="48"/>
    </row>
    <row r="34" spans="1:14" ht="18" customHeight="1" x14ac:dyDescent="0.25">
      <c r="A34" s="48"/>
      <c r="B34" s="2346" t="s">
        <v>867</v>
      </c>
      <c r="C34" s="2346"/>
      <c r="D34" s="2346"/>
      <c r="E34" s="157" t="str">
        <f>IF(AND(E30="Yes",E31="Yes",E32="Yes",G30&lt;&gt;""),"Yes","No")</f>
        <v>No</v>
      </c>
      <c r="F34" s="48"/>
      <c r="G34" s="48"/>
      <c r="H34" s="48"/>
      <c r="I34" s="48"/>
      <c r="J34" s="48"/>
      <c r="K34" s="48"/>
      <c r="L34" s="48"/>
      <c r="M34" s="48"/>
    </row>
    <row r="35" spans="1:14" ht="18" customHeight="1" x14ac:dyDescent="0.25">
      <c r="A35" s="48"/>
      <c r="B35" s="49"/>
      <c r="C35" s="49"/>
      <c r="D35" s="49"/>
      <c r="E35" s="49"/>
      <c r="F35" s="48"/>
      <c r="G35" s="48"/>
      <c r="H35" s="48"/>
      <c r="I35" s="48"/>
      <c r="J35" s="48"/>
      <c r="K35" s="48"/>
      <c r="L35" s="48"/>
      <c r="M35" s="48"/>
    </row>
    <row r="36" spans="1:14" ht="16.5" customHeight="1" x14ac:dyDescent="0.25">
      <c r="A36" s="2338" t="s">
        <v>97</v>
      </c>
      <c r="B36" s="2338"/>
      <c r="C36" s="2338"/>
      <c r="D36" s="49"/>
      <c r="E36" s="49"/>
      <c r="F36" s="49"/>
      <c r="G36" s="49"/>
      <c r="H36" s="49"/>
      <c r="I36" s="49"/>
      <c r="J36" s="49"/>
      <c r="K36" s="49"/>
      <c r="L36" s="49"/>
      <c r="M36" s="49"/>
      <c r="N36" s="49"/>
    </row>
    <row r="37" spans="1:14" x14ac:dyDescent="0.25">
      <c r="A37" s="48"/>
      <c r="B37" s="49"/>
      <c r="C37" s="49"/>
      <c r="D37" s="49"/>
      <c r="E37" s="48"/>
      <c r="F37" s="48"/>
      <c r="G37" s="48"/>
      <c r="H37" s="48"/>
      <c r="I37" s="48"/>
      <c r="J37" s="48"/>
      <c r="K37" s="48"/>
      <c r="L37" s="48"/>
      <c r="M37" s="48"/>
      <c r="N37" s="48"/>
    </row>
    <row r="38" spans="1:14" ht="21" customHeight="1" x14ac:dyDescent="0.25">
      <c r="A38" s="48"/>
      <c r="B38" s="2334" t="s">
        <v>98</v>
      </c>
      <c r="C38" s="2335"/>
      <c r="D38" s="2335"/>
      <c r="E38" s="2335"/>
      <c r="F38" s="2335"/>
      <c r="G38" s="829" t="s">
        <v>1297</v>
      </c>
      <c r="H38" s="2336" t="s">
        <v>1298</v>
      </c>
      <c r="I38" s="2337"/>
      <c r="J38" s="48"/>
      <c r="K38" s="48"/>
      <c r="L38" s="48"/>
      <c r="M38" s="48"/>
      <c r="N38" s="48"/>
    </row>
    <row r="39" spans="1:14" ht="24" customHeight="1" x14ac:dyDescent="0.25">
      <c r="A39" s="48"/>
      <c r="B39" s="1906" t="str">
        <f>Submittals!H152</f>
        <v>Select the Submission Stage in Project Information</v>
      </c>
      <c r="C39" s="1907"/>
      <c r="D39" s="1907"/>
      <c r="E39" s="1907"/>
      <c r="F39" s="2205"/>
      <c r="G39" s="828" t="s">
        <v>62</v>
      </c>
      <c r="H39" s="1625"/>
      <c r="I39" s="1626"/>
      <c r="J39" s="48"/>
      <c r="K39" s="48"/>
      <c r="L39" s="48"/>
      <c r="M39" s="48"/>
      <c r="N39" s="48"/>
    </row>
    <row r="40" spans="1:14" ht="24" hidden="1" customHeight="1" x14ac:dyDescent="0.25">
      <c r="A40" s="48"/>
      <c r="B40" s="1906" t="str">
        <f>Submittals!H153</f>
        <v>Select the Submission Stage in Project Information</v>
      </c>
      <c r="C40" s="1907"/>
      <c r="D40" s="1907"/>
      <c r="E40" s="1907"/>
      <c r="F40" s="2205"/>
      <c r="G40" s="828" t="s">
        <v>62</v>
      </c>
      <c r="H40" s="1625"/>
      <c r="I40" s="1626"/>
      <c r="J40" s="48"/>
      <c r="K40" s="48"/>
      <c r="L40" s="48"/>
      <c r="M40" s="48"/>
      <c r="N40" s="48"/>
    </row>
    <row r="41" spans="1:14" ht="19.5" customHeight="1" x14ac:dyDescent="0.25">
      <c r="A41" s="48"/>
      <c r="B41" s="49"/>
      <c r="C41" s="49"/>
      <c r="D41" s="49"/>
      <c r="E41" s="49"/>
      <c r="F41" s="48"/>
      <c r="G41" s="48"/>
      <c r="H41" s="48"/>
      <c r="I41" s="48"/>
      <c r="J41" s="48"/>
      <c r="K41" s="48"/>
      <c r="L41" s="48"/>
      <c r="M41" s="48"/>
    </row>
    <row r="42" spans="1:14" ht="16.5" customHeight="1" x14ac:dyDescent="0.25">
      <c r="A42" s="2338" t="s">
        <v>8</v>
      </c>
      <c r="B42" s="2338"/>
      <c r="C42" s="2338"/>
      <c r="D42" s="49"/>
      <c r="E42" s="49"/>
      <c r="F42" s="48"/>
      <c r="G42" s="48"/>
      <c r="H42" s="48"/>
      <c r="I42" s="48"/>
      <c r="J42" s="48"/>
      <c r="K42" s="48"/>
      <c r="L42" s="48"/>
      <c r="M42" s="48"/>
    </row>
    <row r="43" spans="1:14" ht="16.5" customHeight="1" x14ac:dyDescent="0.25">
      <c r="A43" s="48"/>
      <c r="B43" s="49"/>
      <c r="C43" s="49"/>
      <c r="D43" s="49"/>
      <c r="E43" s="49"/>
      <c r="F43" s="48"/>
      <c r="G43" s="48"/>
      <c r="H43" s="48"/>
      <c r="I43" s="48"/>
      <c r="J43" s="48"/>
      <c r="K43" s="48"/>
      <c r="L43" s="48"/>
      <c r="M43" s="48"/>
    </row>
    <row r="44" spans="1:14" ht="18" customHeight="1" x14ac:dyDescent="0.25">
      <c r="A44" s="48"/>
      <c r="B44" s="144" t="s">
        <v>360</v>
      </c>
      <c r="C44" s="553" t="str">
        <f>E34</f>
        <v>No</v>
      </c>
      <c r="D44" s="49"/>
      <c r="E44" s="49"/>
      <c r="F44" s="48"/>
      <c r="G44" s="48"/>
      <c r="H44" s="48"/>
      <c r="I44" s="48"/>
      <c r="J44" s="48"/>
      <c r="K44" s="48"/>
      <c r="L44" s="48"/>
      <c r="M44" s="48"/>
    </row>
    <row r="45" spans="1:14" ht="18" customHeight="1" x14ac:dyDescent="0.25">
      <c r="A45" s="48"/>
      <c r="B45" s="147" t="s">
        <v>151</v>
      </c>
      <c r="C45" s="7" t="str">
        <f>IF(AND(COUNTIF(G39:G40,"Submitted")=2,C44&gt;0),"Yes","No")</f>
        <v>No</v>
      </c>
      <c r="D45" s="48"/>
      <c r="E45" s="48"/>
      <c r="F45" s="48"/>
      <c r="G45" s="48"/>
      <c r="H45" s="48"/>
      <c r="I45" s="48"/>
      <c r="J45" s="48"/>
      <c r="K45" s="48"/>
      <c r="L45" s="48"/>
      <c r="M45" s="48"/>
    </row>
    <row r="46" spans="1:14" ht="20.25" customHeight="1" x14ac:dyDescent="0.25">
      <c r="A46" s="48"/>
      <c r="B46" s="49"/>
      <c r="C46" s="49"/>
      <c r="D46" s="49"/>
      <c r="E46" s="49"/>
      <c r="F46" s="48"/>
      <c r="G46" s="48"/>
      <c r="H46" s="48"/>
      <c r="I46" s="48"/>
      <c r="J46" s="48"/>
      <c r="K46" s="48"/>
      <c r="L46" s="48"/>
      <c r="M46" s="48"/>
    </row>
    <row r="47" spans="1:14" ht="18" customHeight="1" x14ac:dyDescent="0.25">
      <c r="A47" s="2331" t="s">
        <v>859</v>
      </c>
      <c r="B47" s="2331"/>
      <c r="C47" s="2331"/>
      <c r="D47" s="2331"/>
      <c r="E47" s="2331"/>
      <c r="F47" s="2331"/>
      <c r="G47" s="2331"/>
      <c r="H47" s="2331"/>
      <c r="I47" s="2331"/>
      <c r="J47" s="2331"/>
      <c r="K47" s="2331"/>
      <c r="L47" s="2331"/>
      <c r="M47" s="2331"/>
    </row>
    <row r="48" spans="1:14" x14ac:dyDescent="0.25">
      <c r="A48" s="48"/>
      <c r="B48" s="48"/>
      <c r="C48" s="48"/>
      <c r="D48" s="48"/>
      <c r="E48" s="48"/>
      <c r="F48" s="48"/>
      <c r="G48" s="48"/>
      <c r="H48" s="48"/>
      <c r="I48" s="48"/>
      <c r="J48" s="48"/>
      <c r="K48" s="48"/>
      <c r="L48" s="48"/>
      <c r="M48" s="48"/>
    </row>
    <row r="49" spans="1:14" ht="16.5" customHeight="1" x14ac:dyDescent="0.25">
      <c r="A49" s="2338" t="s">
        <v>117</v>
      </c>
      <c r="B49" s="2338"/>
      <c r="C49" s="2338"/>
      <c r="D49" s="49"/>
      <c r="E49" s="49"/>
      <c r="F49" s="48"/>
      <c r="G49" s="48"/>
      <c r="H49" s="48"/>
      <c r="I49" s="48"/>
      <c r="J49" s="48"/>
      <c r="K49" s="48"/>
      <c r="L49" s="48"/>
      <c r="M49" s="48"/>
    </row>
    <row r="50" spans="1:14" x14ac:dyDescent="0.25">
      <c r="A50" s="48"/>
      <c r="B50" s="49"/>
      <c r="C50" s="49"/>
      <c r="D50" s="49"/>
      <c r="E50" s="48"/>
      <c r="F50" s="48"/>
      <c r="G50" s="48"/>
      <c r="H50" s="48"/>
      <c r="I50" s="48"/>
      <c r="J50" s="48"/>
      <c r="K50" s="48"/>
      <c r="L50" s="48"/>
      <c r="M50" s="48"/>
    </row>
    <row r="51" spans="1:14" x14ac:dyDescent="0.25">
      <c r="A51" s="48"/>
      <c r="B51" s="816" t="s">
        <v>868</v>
      </c>
      <c r="C51" s="49"/>
      <c r="D51" s="49"/>
      <c r="E51" s="48"/>
      <c r="F51" s="48"/>
      <c r="G51" s="48"/>
      <c r="H51" s="48"/>
      <c r="I51" s="48"/>
      <c r="J51" s="48"/>
      <c r="K51" s="48"/>
      <c r="L51" s="48"/>
      <c r="M51" s="48"/>
    </row>
    <row r="52" spans="1:14" ht="20.25" customHeight="1" x14ac:dyDescent="0.25">
      <c r="A52" s="49"/>
      <c r="B52" s="49"/>
      <c r="C52" s="49"/>
      <c r="D52" s="49"/>
      <c r="E52" s="49"/>
      <c r="F52" s="49"/>
      <c r="G52" s="48"/>
      <c r="H52" s="48"/>
      <c r="I52" s="48"/>
      <c r="J52" s="48"/>
      <c r="K52" s="48"/>
      <c r="L52" s="48"/>
      <c r="M52" s="48"/>
    </row>
    <row r="53" spans="1:14" x14ac:dyDescent="0.25">
      <c r="A53" s="49"/>
      <c r="B53" s="671" t="s">
        <v>1377</v>
      </c>
      <c r="C53" s="49"/>
      <c r="D53" s="49"/>
      <c r="E53" s="49"/>
      <c r="F53" s="49"/>
      <c r="G53" s="48"/>
      <c r="H53" s="48"/>
      <c r="I53" s="48"/>
      <c r="J53" s="48"/>
      <c r="K53" s="48"/>
      <c r="L53" s="48"/>
      <c r="M53" s="48"/>
    </row>
    <row r="54" spans="1:14" ht="12" customHeight="1" x14ac:dyDescent="0.25">
      <c r="A54" s="48"/>
      <c r="B54" s="49"/>
      <c r="C54" s="49"/>
      <c r="D54" s="49"/>
      <c r="E54" s="49"/>
      <c r="F54" s="49"/>
      <c r="G54" s="48"/>
      <c r="H54" s="48"/>
      <c r="I54" s="48"/>
      <c r="J54" s="48"/>
      <c r="K54" s="48"/>
      <c r="L54" s="48"/>
      <c r="M54" s="48"/>
    </row>
    <row r="55" spans="1:14" ht="18" customHeight="1" x14ac:dyDescent="0.25">
      <c r="A55" s="48"/>
      <c r="B55" s="1620" t="str">
        <f>IF('Project information'!$C$7="Full Certification stage","• Is access to covered and secured bicycle parking spaces provided to project occupants?","• Will access to covered and secured bicycle parking spaces be provided to project occupants?")</f>
        <v>• Will access to covered and secured bicycle parking spaces be provided to project occupants?</v>
      </c>
      <c r="C55" s="1620"/>
      <c r="D55" s="1620"/>
      <c r="E55" s="1620"/>
      <c r="F55" s="1620"/>
      <c r="G55" s="821" t="s">
        <v>62</v>
      </c>
      <c r="H55" s="48"/>
      <c r="I55" s="48"/>
      <c r="J55" s="48"/>
      <c r="K55" s="48"/>
      <c r="L55" s="48"/>
      <c r="M55" s="48"/>
    </row>
    <row r="56" spans="1:14" ht="18" customHeight="1" x14ac:dyDescent="0.25">
      <c r="A56" s="48"/>
      <c r="B56" s="1620" t="str">
        <f>IF('Project information'!$C$7="Full Certification stage","• Is access to shower facilities provided to project occupants?","• Will access to shower facilities be provided to project occupants?")</f>
        <v>• Will access to shower facilities be provided to project occupants?</v>
      </c>
      <c r="C56" s="1620"/>
      <c r="D56" s="1620"/>
      <c r="E56" s="1620"/>
      <c r="F56" s="1620"/>
      <c r="G56" s="831" t="s">
        <v>62</v>
      </c>
      <c r="H56" s="48"/>
      <c r="I56" s="48"/>
      <c r="J56" s="48"/>
      <c r="K56" s="48"/>
      <c r="L56" s="48"/>
      <c r="M56" s="48"/>
    </row>
    <row r="57" spans="1:14" ht="18" customHeight="1" x14ac:dyDescent="0.25">
      <c r="A57" s="48"/>
      <c r="B57" s="1620" t="str">
        <f>IF('Project information'!$C$7="Full Certification stage","• Is access to lockers/personal storage space provided to project occupants?","• Will access to lockers/personal storage space be provided to project occupants?")</f>
        <v>• Will access to lockers/personal storage space be provided to project occupants?</v>
      </c>
      <c r="C57" s="1620"/>
      <c r="D57" s="1620"/>
      <c r="E57" s="1620"/>
      <c r="F57" s="1620"/>
      <c r="G57" s="831" t="s">
        <v>62</v>
      </c>
      <c r="H57" s="48"/>
      <c r="I57" s="48"/>
      <c r="J57" s="48"/>
      <c r="K57" s="48"/>
      <c r="L57" s="48"/>
      <c r="M57" s="48"/>
    </row>
    <row r="58" spans="1:14" ht="16.5" customHeight="1" x14ac:dyDescent="0.25">
      <c r="A58" s="48"/>
      <c r="B58" s="49"/>
      <c r="C58" s="49"/>
      <c r="D58" s="49"/>
      <c r="E58" s="48"/>
      <c r="F58" s="48"/>
      <c r="G58" s="48"/>
      <c r="H58" s="48"/>
      <c r="I58" s="48"/>
      <c r="J58" s="48"/>
      <c r="K58" s="48"/>
      <c r="L58" s="48"/>
      <c r="M58" s="48"/>
    </row>
    <row r="59" spans="1:14" ht="18" customHeight="1" x14ac:dyDescent="0.25">
      <c r="A59" s="48"/>
      <c r="B59" s="2346" t="s">
        <v>869</v>
      </c>
      <c r="C59" s="2346"/>
      <c r="D59" s="2346"/>
      <c r="E59" s="157" t="str">
        <f>IF(AND(G55="Yes",G56="Yes",G57="Yes"),"Yes","No")</f>
        <v>No</v>
      </c>
      <c r="F59" s="48"/>
      <c r="G59" s="48"/>
      <c r="H59" s="48"/>
      <c r="I59" s="48"/>
      <c r="J59" s="48"/>
      <c r="K59" s="48"/>
      <c r="L59" s="48"/>
      <c r="M59" s="48"/>
    </row>
    <row r="60" spans="1:14" ht="18.75" customHeight="1" x14ac:dyDescent="0.25">
      <c r="A60" s="48"/>
      <c r="B60" s="49"/>
      <c r="C60" s="49"/>
      <c r="D60" s="49"/>
      <c r="E60" s="48"/>
      <c r="F60" s="48"/>
      <c r="G60" s="48"/>
      <c r="H60" s="48"/>
      <c r="I60" s="48"/>
      <c r="J60" s="48"/>
      <c r="K60" s="48"/>
      <c r="L60" s="48"/>
      <c r="M60" s="48"/>
    </row>
    <row r="61" spans="1:14" ht="16.5" customHeight="1" x14ac:dyDescent="0.25">
      <c r="A61" s="2338" t="s">
        <v>97</v>
      </c>
      <c r="B61" s="2338"/>
      <c r="C61" s="2338"/>
      <c r="D61" s="49"/>
      <c r="E61" s="49"/>
      <c r="F61" s="49"/>
      <c r="G61" s="49"/>
      <c r="H61" s="49"/>
      <c r="I61" s="49"/>
      <c r="J61" s="49"/>
      <c r="K61" s="49"/>
      <c r="L61" s="49"/>
      <c r="M61" s="49"/>
    </row>
    <row r="62" spans="1:14" x14ac:dyDescent="0.25">
      <c r="A62" s="48"/>
      <c r="B62" s="49"/>
      <c r="C62" s="49"/>
      <c r="D62" s="49"/>
      <c r="E62" s="48"/>
      <c r="F62" s="48"/>
      <c r="G62" s="48"/>
      <c r="H62" s="48"/>
      <c r="I62" s="48"/>
      <c r="J62" s="48"/>
      <c r="K62" s="48"/>
      <c r="L62" s="48"/>
      <c r="M62" s="48"/>
    </row>
    <row r="63" spans="1:14" ht="21" customHeight="1" x14ac:dyDescent="0.25">
      <c r="A63" s="48"/>
      <c r="B63" s="2334" t="s">
        <v>98</v>
      </c>
      <c r="C63" s="2335"/>
      <c r="D63" s="2335"/>
      <c r="E63" s="2335"/>
      <c r="F63" s="2335"/>
      <c r="G63" s="829" t="s">
        <v>1297</v>
      </c>
      <c r="H63" s="2336" t="s">
        <v>1298</v>
      </c>
      <c r="I63" s="2337"/>
      <c r="J63" s="48"/>
      <c r="K63" s="48"/>
      <c r="L63" s="48"/>
      <c r="M63" s="48"/>
    </row>
    <row r="64" spans="1:14" ht="27" customHeight="1" x14ac:dyDescent="0.25">
      <c r="A64" s="48"/>
      <c r="B64" s="1906" t="str">
        <f>Submittals!H154</f>
        <v>Select the Submission Stage in Project Information</v>
      </c>
      <c r="C64" s="1907"/>
      <c r="D64" s="1907"/>
      <c r="E64" s="1907"/>
      <c r="F64" s="2205"/>
      <c r="G64" s="828" t="s">
        <v>62</v>
      </c>
      <c r="H64" s="1625"/>
      <c r="I64" s="1626"/>
      <c r="J64" s="48"/>
      <c r="K64" s="48"/>
      <c r="L64" s="48"/>
      <c r="M64" s="48"/>
      <c r="N64" s="37" t="str">
        <f>IF(OR(B64="/",B64="No evidence required at this submission stage"),"Yes",IF(G64="Submitted","Yes","No"))</f>
        <v>No</v>
      </c>
    </row>
    <row r="65" spans="1:14" ht="30" customHeight="1" x14ac:dyDescent="0.25">
      <c r="A65" s="48"/>
      <c r="B65" s="1906" t="str">
        <f>Submittals!H155</f>
        <v>Select the Submission Stage in Project Information</v>
      </c>
      <c r="C65" s="1907"/>
      <c r="D65" s="1907"/>
      <c r="E65" s="1907"/>
      <c r="F65" s="2205"/>
      <c r="G65" s="1253" t="s">
        <v>62</v>
      </c>
      <c r="H65" s="1625"/>
      <c r="I65" s="1626"/>
      <c r="J65" s="48"/>
      <c r="K65" s="48"/>
      <c r="L65" s="48"/>
      <c r="M65" s="48"/>
      <c r="N65" s="37" t="str">
        <f>IF(OR(B65="/",B65="No evidence required at this submission stage"),"Yes",IF(OR(G65="Already approved at PC",G65="Submitted"),"Yes","No"))</f>
        <v>No</v>
      </c>
    </row>
    <row r="66" spans="1:14" ht="18" customHeight="1" x14ac:dyDescent="0.25">
      <c r="A66" s="48"/>
      <c r="B66" s="49"/>
      <c r="C66" s="49"/>
      <c r="D66" s="49"/>
      <c r="E66" s="49"/>
      <c r="F66" s="48"/>
      <c r="G66" s="48"/>
      <c r="H66" s="48"/>
      <c r="I66" s="48"/>
      <c r="J66" s="48"/>
      <c r="K66" s="48"/>
      <c r="L66" s="48"/>
      <c r="M66" s="48"/>
    </row>
    <row r="67" spans="1:14" ht="16.5" customHeight="1" x14ac:dyDescent="0.25">
      <c r="A67" s="2338" t="s">
        <v>8</v>
      </c>
      <c r="B67" s="2338"/>
      <c r="C67" s="2338"/>
      <c r="D67" s="49"/>
      <c r="E67" s="49"/>
      <c r="F67" s="48"/>
      <c r="G67" s="48"/>
      <c r="H67" s="48"/>
      <c r="I67" s="48"/>
      <c r="J67" s="48"/>
      <c r="K67" s="48"/>
      <c r="L67" s="48"/>
      <c r="M67" s="48"/>
    </row>
    <row r="68" spans="1:14" ht="16.5" customHeight="1" x14ac:dyDescent="0.25">
      <c r="A68" s="48"/>
      <c r="B68" s="49"/>
      <c r="C68" s="49"/>
      <c r="D68" s="49"/>
      <c r="E68" s="49"/>
      <c r="F68" s="48"/>
      <c r="G68" s="48"/>
      <c r="H68" s="48"/>
      <c r="I68" s="48"/>
      <c r="J68" s="48"/>
      <c r="K68" s="48"/>
      <c r="L68" s="48"/>
      <c r="M68" s="48"/>
    </row>
    <row r="69" spans="1:14" ht="18" customHeight="1" x14ac:dyDescent="0.25">
      <c r="A69" s="48"/>
      <c r="B69" s="144" t="s">
        <v>19</v>
      </c>
      <c r="C69" s="8">
        <f>IF(E59="Yes",1,0)</f>
        <v>0</v>
      </c>
      <c r="D69" s="49"/>
      <c r="E69" s="49"/>
      <c r="F69" s="48"/>
      <c r="G69" s="48"/>
      <c r="H69" s="48"/>
      <c r="I69" s="48"/>
      <c r="J69" s="48"/>
      <c r="K69" s="48"/>
      <c r="L69" s="48"/>
      <c r="M69" s="48"/>
    </row>
    <row r="70" spans="1:14" ht="18" customHeight="1" x14ac:dyDescent="0.25">
      <c r="A70" s="48"/>
      <c r="B70" s="147" t="s">
        <v>151</v>
      </c>
      <c r="C70" s="7" t="str">
        <f>IF(AND(COUNTIF(N64:N65,"Yes")=2,C69&gt;0),"Yes","No")</f>
        <v>No</v>
      </c>
      <c r="D70" s="48"/>
      <c r="E70" s="48"/>
      <c r="F70" s="48"/>
      <c r="G70" s="48"/>
      <c r="H70" s="48"/>
      <c r="I70" s="48"/>
      <c r="J70" s="48"/>
      <c r="K70" s="48"/>
      <c r="L70" s="48"/>
      <c r="M70" s="48"/>
    </row>
    <row r="71" spans="1:14" ht="21" customHeight="1" x14ac:dyDescent="0.25">
      <c r="A71" s="48"/>
      <c r="B71" s="49"/>
      <c r="C71" s="49"/>
      <c r="D71" s="49"/>
      <c r="E71" s="49"/>
      <c r="F71" s="48"/>
      <c r="G71" s="48"/>
      <c r="H71" s="48"/>
      <c r="I71" s="48"/>
      <c r="J71" s="48"/>
      <c r="K71" s="48"/>
      <c r="L71" s="48"/>
      <c r="M71" s="48"/>
    </row>
    <row r="72" spans="1:14" ht="18.75" customHeight="1" x14ac:dyDescent="0.25">
      <c r="A72" s="2331" t="s">
        <v>860</v>
      </c>
      <c r="B72" s="2331"/>
      <c r="C72" s="2331"/>
      <c r="D72" s="2331"/>
      <c r="E72" s="2331"/>
      <c r="F72" s="2331"/>
      <c r="G72" s="2331"/>
      <c r="H72" s="2331"/>
      <c r="I72" s="2331"/>
      <c r="J72" s="2331"/>
      <c r="K72" s="2331"/>
      <c r="L72" s="2331"/>
      <c r="M72" s="2331"/>
    </row>
    <row r="73" spans="1:14" x14ac:dyDescent="0.25">
      <c r="A73" s="48"/>
      <c r="B73" s="48"/>
      <c r="C73" s="48"/>
      <c r="D73" s="48"/>
      <c r="E73" s="48"/>
      <c r="F73" s="48"/>
      <c r="G73" s="48"/>
      <c r="H73" s="48"/>
      <c r="I73" s="48"/>
      <c r="J73" s="48"/>
      <c r="K73" s="48"/>
      <c r="L73" s="48"/>
      <c r="M73" s="48"/>
    </row>
    <row r="74" spans="1:14" ht="16.5" customHeight="1" x14ac:dyDescent="0.25">
      <c r="A74" s="2338" t="s">
        <v>117</v>
      </c>
      <c r="B74" s="2338"/>
      <c r="C74" s="2338"/>
      <c r="D74" s="49"/>
      <c r="E74" s="49"/>
      <c r="F74" s="48"/>
      <c r="G74" s="48"/>
      <c r="H74" s="48"/>
      <c r="I74" s="48"/>
      <c r="J74" s="48"/>
      <c r="K74" s="48"/>
      <c r="L74" s="48"/>
      <c r="M74" s="48"/>
    </row>
    <row r="75" spans="1:14" x14ac:dyDescent="0.25">
      <c r="A75" s="48"/>
      <c r="B75" s="49"/>
      <c r="C75" s="49"/>
      <c r="D75" s="49"/>
      <c r="E75" s="49"/>
      <c r="F75" s="48"/>
      <c r="G75" s="48"/>
      <c r="H75" s="48"/>
      <c r="I75" s="48"/>
      <c r="J75" s="48"/>
      <c r="K75" s="48"/>
      <c r="L75" s="48"/>
      <c r="M75" s="48"/>
    </row>
    <row r="76" spans="1:14" x14ac:dyDescent="0.25">
      <c r="A76" s="48"/>
      <c r="B76" s="816" t="s">
        <v>875</v>
      </c>
      <c r="C76" s="49"/>
      <c r="D76" s="49"/>
      <c r="E76" s="49"/>
      <c r="F76" s="48"/>
      <c r="G76" s="48"/>
      <c r="H76" s="48"/>
      <c r="I76" s="48"/>
      <c r="J76" s="48"/>
      <c r="K76" s="48"/>
      <c r="L76" s="48"/>
      <c r="M76" s="48"/>
    </row>
    <row r="77" spans="1:14" x14ac:dyDescent="0.25">
      <c r="A77" s="48"/>
      <c r="B77" s="121"/>
      <c r="C77" s="49"/>
      <c r="D77" s="49"/>
      <c r="E77" s="49"/>
      <c r="F77" s="48"/>
      <c r="G77" s="48"/>
      <c r="H77" s="48"/>
      <c r="I77" s="48"/>
      <c r="J77" s="48"/>
      <c r="K77" s="48"/>
      <c r="L77" s="48"/>
      <c r="M77" s="48"/>
    </row>
    <row r="78" spans="1:14" x14ac:dyDescent="0.25">
      <c r="A78" s="48"/>
      <c r="B78" s="680" t="s">
        <v>872</v>
      </c>
      <c r="C78" s="49"/>
      <c r="D78" s="49"/>
      <c r="E78" s="49"/>
      <c r="F78" s="48"/>
      <c r="G78" s="48"/>
      <c r="H78" s="48"/>
      <c r="I78" s="48"/>
      <c r="J78" s="48"/>
      <c r="K78" s="48"/>
      <c r="L78" s="48"/>
      <c r="M78" s="48"/>
    </row>
    <row r="79" spans="1:14" x14ac:dyDescent="0.25">
      <c r="A79" s="48"/>
      <c r="B79" s="775" t="s">
        <v>1440</v>
      </c>
      <c r="C79" s="48"/>
      <c r="D79" s="48"/>
      <c r="E79" s="48"/>
      <c r="F79" s="48"/>
      <c r="G79" s="48"/>
      <c r="H79" s="48"/>
      <c r="I79" s="48"/>
      <c r="J79" s="48"/>
      <c r="K79" s="48"/>
      <c r="L79" s="48"/>
      <c r="M79" s="48"/>
    </row>
    <row r="80" spans="1:14" ht="15" customHeight="1" x14ac:dyDescent="0.25">
      <c r="A80" s="48"/>
      <c r="B80" s="48"/>
      <c r="C80" s="48"/>
      <c r="D80" s="48"/>
      <c r="E80" s="48"/>
      <c r="F80" s="48"/>
      <c r="G80" s="48"/>
      <c r="H80" s="48"/>
      <c r="I80" s="48"/>
      <c r="J80" s="48"/>
      <c r="K80" s="48"/>
      <c r="L80" s="48"/>
      <c r="M80" s="48"/>
    </row>
    <row r="81" spans="1:14" ht="15" customHeight="1" x14ac:dyDescent="0.25">
      <c r="A81" s="48"/>
      <c r="B81" s="671" t="s">
        <v>2092</v>
      </c>
      <c r="C81" s="48"/>
      <c r="D81" s="48"/>
      <c r="E81" s="48"/>
      <c r="F81" s="48"/>
      <c r="G81" s="48"/>
      <c r="H81" s="48"/>
      <c r="I81" s="48"/>
      <c r="J81" s="48"/>
      <c r="K81" s="48"/>
      <c r="L81" s="48"/>
      <c r="M81" s="48"/>
    </row>
    <row r="82" spans="1:14" ht="12.75" customHeight="1" x14ac:dyDescent="0.25">
      <c r="A82" s="48"/>
      <c r="B82" s="48"/>
      <c r="C82" s="48"/>
      <c r="D82" s="48"/>
      <c r="E82" s="48"/>
      <c r="F82" s="48"/>
      <c r="G82" s="48"/>
      <c r="H82" s="48"/>
      <c r="I82" s="48"/>
      <c r="J82" s="48"/>
      <c r="K82" s="48"/>
      <c r="L82" s="48"/>
      <c r="M82" s="48"/>
    </row>
    <row r="83" spans="1:14" ht="27" customHeight="1" x14ac:dyDescent="0.25">
      <c r="A83" s="48"/>
      <c r="B83" s="554" t="s">
        <v>871</v>
      </c>
      <c r="C83" s="274" t="s">
        <v>1441</v>
      </c>
      <c r="D83" s="847" t="s">
        <v>874</v>
      </c>
      <c r="E83" s="272" t="s">
        <v>870</v>
      </c>
      <c r="F83" s="48"/>
      <c r="G83" s="48"/>
      <c r="H83" s="48"/>
      <c r="I83" s="48"/>
      <c r="J83" s="48"/>
      <c r="K83" s="48"/>
      <c r="L83" s="48"/>
      <c r="M83" s="48"/>
    </row>
    <row r="84" spans="1:14" ht="19.5" customHeight="1" x14ac:dyDescent="0.25">
      <c r="A84" s="48"/>
      <c r="B84" s="120" t="s">
        <v>62</v>
      </c>
      <c r="C84" s="832"/>
      <c r="D84" s="120"/>
      <c r="E84" s="535"/>
      <c r="F84" s="48"/>
      <c r="G84" s="48"/>
      <c r="H84" s="48"/>
      <c r="I84" s="48"/>
      <c r="J84" s="48"/>
      <c r="K84" s="48"/>
      <c r="L84" s="48"/>
      <c r="M84" s="48"/>
      <c r="N84" s="37">
        <f>IF(OR(B84="Select",B84="",D84=""),0,IF(D84&lt;=500,1,IF(D84&lt;=700,2,0)))</f>
        <v>0</v>
      </c>
    </row>
    <row r="85" spans="1:14" ht="19.5" customHeight="1" x14ac:dyDescent="0.25">
      <c r="A85" s="48"/>
      <c r="B85" s="832" t="s">
        <v>62</v>
      </c>
      <c r="C85" s="832"/>
      <c r="D85" s="832"/>
      <c r="E85" s="832"/>
      <c r="F85" s="48"/>
      <c r="G85" s="48"/>
      <c r="H85" s="48"/>
      <c r="I85" s="48"/>
      <c r="J85" s="48"/>
      <c r="K85" s="48"/>
      <c r="L85" s="48"/>
      <c r="M85" s="48"/>
      <c r="N85" s="37">
        <f>IF(OR(B85="Select",B85="",D85=""),0,IF(D85&lt;=500,1,IF(D85&lt;=700,2,0)))</f>
        <v>0</v>
      </c>
    </row>
    <row r="86" spans="1:14" ht="19.5" customHeight="1" x14ac:dyDescent="0.25">
      <c r="A86" s="48"/>
      <c r="B86" s="535" t="s">
        <v>62</v>
      </c>
      <c r="C86" s="832"/>
      <c r="D86" s="535"/>
      <c r="E86" s="535"/>
      <c r="F86" s="48"/>
      <c r="G86" s="48"/>
      <c r="H86" s="48"/>
      <c r="I86" s="48"/>
      <c r="J86" s="48"/>
      <c r="K86" s="48"/>
      <c r="L86" s="48"/>
      <c r="M86" s="48"/>
      <c r="N86" s="37">
        <f>IF(OR(B86="Select",B86="",D86=""),0,IF(D86&lt;=500,1,IF(D86&lt;=700,2,0)))</f>
        <v>0</v>
      </c>
    </row>
    <row r="87" spans="1:14" ht="18" customHeight="1" x14ac:dyDescent="0.25">
      <c r="A87" s="48"/>
      <c r="B87" s="49"/>
      <c r="C87" s="49"/>
      <c r="D87" s="49"/>
      <c r="E87" s="49"/>
      <c r="F87" s="48"/>
      <c r="G87" s="48"/>
      <c r="H87" s="48"/>
      <c r="I87" s="48"/>
      <c r="J87" s="48"/>
      <c r="K87" s="48"/>
      <c r="L87" s="48"/>
      <c r="M87" s="48"/>
    </row>
    <row r="88" spans="1:14" ht="18" customHeight="1" x14ac:dyDescent="0.25">
      <c r="A88" s="48"/>
      <c r="B88" s="2346" t="s">
        <v>873</v>
      </c>
      <c r="C88" s="2346"/>
      <c r="D88" s="2346"/>
      <c r="E88" s="157" t="str">
        <f>IF(SUMIF(N84:N86,2,E84:E86)&gt;=2,"Yes",IF(SUMIF(N84:N86,1,E84:E86)&gt;=1,"Yes","No"))</f>
        <v>No</v>
      </c>
      <c r="F88" s="48"/>
      <c r="G88" s="48"/>
      <c r="H88" s="48"/>
      <c r="I88" s="48"/>
      <c r="J88" s="48"/>
      <c r="K88" s="48"/>
      <c r="L88" s="48"/>
      <c r="M88" s="48"/>
    </row>
    <row r="89" spans="1:14" ht="19.5" customHeight="1" x14ac:dyDescent="0.25">
      <c r="A89" s="48"/>
      <c r="B89" s="49"/>
      <c r="C89" s="49"/>
      <c r="D89" s="49"/>
      <c r="E89" s="49"/>
      <c r="F89" s="48"/>
      <c r="G89" s="48"/>
      <c r="H89" s="48"/>
      <c r="I89" s="48"/>
      <c r="J89" s="48"/>
      <c r="K89" s="48"/>
      <c r="L89" s="48"/>
      <c r="M89" s="48"/>
    </row>
    <row r="90" spans="1:14" ht="16.5" customHeight="1" x14ac:dyDescent="0.25">
      <c r="A90" s="2338" t="s">
        <v>97</v>
      </c>
      <c r="B90" s="2338"/>
      <c r="C90" s="2338"/>
      <c r="D90" s="49"/>
      <c r="E90" s="49"/>
      <c r="F90" s="49"/>
      <c r="G90" s="49"/>
      <c r="H90" s="49"/>
      <c r="I90" s="49"/>
      <c r="J90" s="49"/>
      <c r="K90" s="49"/>
      <c r="L90" s="49"/>
      <c r="M90" s="49"/>
    </row>
    <row r="91" spans="1:14" x14ac:dyDescent="0.25">
      <c r="A91" s="48"/>
      <c r="B91" s="49"/>
      <c r="C91" s="49"/>
      <c r="D91" s="49"/>
      <c r="E91" s="48"/>
      <c r="F91" s="48"/>
      <c r="G91" s="48"/>
      <c r="H91" s="48"/>
      <c r="I91" s="48"/>
      <c r="J91" s="48"/>
      <c r="K91" s="48"/>
      <c r="L91" s="48"/>
      <c r="M91" s="48"/>
    </row>
    <row r="92" spans="1:14" ht="21" customHeight="1" x14ac:dyDescent="0.25">
      <c r="A92" s="48"/>
      <c r="B92" s="2334" t="s">
        <v>98</v>
      </c>
      <c r="C92" s="2335"/>
      <c r="D92" s="2335"/>
      <c r="E92" s="2335"/>
      <c r="F92" s="2335"/>
      <c r="G92" s="829" t="s">
        <v>1297</v>
      </c>
      <c r="H92" s="2336" t="s">
        <v>1298</v>
      </c>
      <c r="I92" s="2337"/>
      <c r="J92" s="48"/>
      <c r="K92" s="48"/>
      <c r="L92" s="48"/>
      <c r="M92" s="48"/>
    </row>
    <row r="93" spans="1:14" ht="39" customHeight="1" x14ac:dyDescent="0.25">
      <c r="A93" s="48"/>
      <c r="B93" s="1906" t="str">
        <f>Submittals!H156</f>
        <v>Select the Submission Stage in Project Information</v>
      </c>
      <c r="C93" s="1907"/>
      <c r="D93" s="1907"/>
      <c r="E93" s="1907"/>
      <c r="F93" s="2205"/>
      <c r="G93" s="1298" t="s">
        <v>62</v>
      </c>
      <c r="H93" s="1625"/>
      <c r="I93" s="1626"/>
      <c r="J93" s="48"/>
      <c r="K93" s="48"/>
      <c r="L93" s="48"/>
      <c r="M93" s="48"/>
      <c r="N93" s="37" t="str">
        <f>IF(OR(B93="/",B93="No evidence required at this submission stage"),"Yes",IF(OR(G93="Already approved at PC",G93="Submitted"),"Yes","No"))</f>
        <v>No</v>
      </c>
    </row>
    <row r="94" spans="1:14" ht="0.75" hidden="1" customHeight="1" x14ac:dyDescent="0.25">
      <c r="A94" s="48"/>
      <c r="B94" s="1906" t="str">
        <f>Submittals!H157</f>
        <v>Select the Submission Stage in Project Information</v>
      </c>
      <c r="C94" s="1907"/>
      <c r="D94" s="1907"/>
      <c r="E94" s="1907"/>
      <c r="F94" s="2205"/>
      <c r="G94" s="828" t="s">
        <v>62</v>
      </c>
      <c r="H94" s="1625"/>
      <c r="I94" s="1626"/>
      <c r="J94" s="48"/>
      <c r="K94" s="48"/>
      <c r="L94" s="48"/>
      <c r="M94" s="48"/>
      <c r="N94" s="37" t="str">
        <f>IF(OR(B94="/",B94="No evidence required at this submission stage"),"Yes",IF(G94="Submitted","Yes","No"))</f>
        <v>No</v>
      </c>
    </row>
    <row r="95" spans="1:14" ht="19.5" customHeight="1" x14ac:dyDescent="0.25">
      <c r="A95" s="48"/>
      <c r="B95" s="49"/>
      <c r="C95" s="49"/>
      <c r="D95" s="49"/>
      <c r="E95" s="49"/>
      <c r="F95" s="48"/>
      <c r="G95" s="48"/>
      <c r="H95" s="48"/>
      <c r="I95" s="48"/>
      <c r="J95" s="48"/>
      <c r="K95" s="48"/>
      <c r="L95" s="48"/>
      <c r="M95" s="48"/>
    </row>
    <row r="96" spans="1:14" ht="16.5" customHeight="1" x14ac:dyDescent="0.25">
      <c r="A96" s="2338" t="s">
        <v>8</v>
      </c>
      <c r="B96" s="2338"/>
      <c r="C96" s="2338"/>
      <c r="D96" s="49"/>
      <c r="E96" s="49"/>
      <c r="F96" s="48"/>
      <c r="G96" s="48"/>
      <c r="H96" s="48"/>
      <c r="I96" s="48"/>
      <c r="J96" s="48"/>
      <c r="K96" s="48"/>
      <c r="L96" s="48"/>
      <c r="M96" s="48"/>
    </row>
    <row r="97" spans="1:13" ht="16.5" customHeight="1" x14ac:dyDescent="0.25">
      <c r="A97" s="48"/>
      <c r="B97" s="49"/>
      <c r="C97" s="49"/>
      <c r="D97" s="49"/>
      <c r="E97" s="49"/>
      <c r="F97" s="48"/>
      <c r="G97" s="48"/>
      <c r="H97" s="48"/>
      <c r="I97" s="48"/>
      <c r="J97" s="48"/>
      <c r="K97" s="48"/>
      <c r="L97" s="48"/>
      <c r="M97" s="48"/>
    </row>
    <row r="98" spans="1:13" ht="16.5" customHeight="1" x14ac:dyDescent="0.25">
      <c r="A98" s="48"/>
      <c r="B98" s="144" t="s">
        <v>19</v>
      </c>
      <c r="C98" s="8">
        <f>IF(E88="Yes",1,0)</f>
        <v>0</v>
      </c>
      <c r="D98" s="49"/>
      <c r="E98" s="49"/>
      <c r="F98" s="48"/>
      <c r="G98" s="48"/>
      <c r="H98" s="48"/>
      <c r="I98" s="48"/>
      <c r="J98" s="48"/>
      <c r="K98" s="48"/>
      <c r="L98" s="48"/>
      <c r="M98" s="48"/>
    </row>
    <row r="99" spans="1:13" ht="16.5" customHeight="1" x14ac:dyDescent="0.25">
      <c r="A99" s="48"/>
      <c r="B99" s="147" t="s">
        <v>151</v>
      </c>
      <c r="C99" s="7" t="str">
        <f>IF(AND(COUNTIF(N93:N94,"Yes")=2,C98&gt;0),"Yes","No")</f>
        <v>No</v>
      </c>
      <c r="D99" s="49"/>
      <c r="E99" s="49"/>
      <c r="F99" s="48"/>
      <c r="G99" s="48"/>
      <c r="H99" s="48"/>
      <c r="I99" s="48"/>
      <c r="J99" s="48"/>
      <c r="K99" s="48"/>
      <c r="L99" s="48"/>
      <c r="M99" s="48"/>
    </row>
    <row r="100" spans="1:13" ht="21" customHeight="1" x14ac:dyDescent="0.25">
      <c r="A100" s="48"/>
      <c r="B100" s="49"/>
      <c r="C100" s="49"/>
      <c r="D100" s="49"/>
      <c r="E100" s="49"/>
      <c r="F100" s="48"/>
      <c r="G100" s="48"/>
      <c r="H100" s="48"/>
      <c r="I100" s="48"/>
      <c r="J100" s="48"/>
      <c r="K100" s="48"/>
      <c r="L100" s="48"/>
      <c r="M100" s="48"/>
    </row>
    <row r="101" spans="1:13" ht="18.75" customHeight="1" x14ac:dyDescent="0.25">
      <c r="A101" s="2331" t="s">
        <v>861</v>
      </c>
      <c r="B101" s="2331"/>
      <c r="C101" s="2331"/>
      <c r="D101" s="2331"/>
      <c r="E101" s="2331"/>
      <c r="F101" s="2331"/>
      <c r="G101" s="2331"/>
      <c r="H101" s="2331"/>
      <c r="I101" s="2331"/>
      <c r="J101" s="2331"/>
      <c r="K101" s="2331"/>
      <c r="L101" s="2331"/>
      <c r="M101" s="2331"/>
    </row>
    <row r="102" spans="1:13" x14ac:dyDescent="0.25">
      <c r="A102" s="48"/>
      <c r="B102" s="48"/>
      <c r="C102" s="48"/>
      <c r="D102" s="48"/>
      <c r="E102" s="48"/>
      <c r="F102" s="48"/>
      <c r="G102" s="48"/>
      <c r="H102" s="48"/>
      <c r="I102" s="48"/>
      <c r="J102" s="48"/>
      <c r="K102" s="48"/>
      <c r="L102" s="48"/>
      <c r="M102" s="48"/>
    </row>
    <row r="103" spans="1:13" ht="16.5" customHeight="1" x14ac:dyDescent="0.25">
      <c r="A103" s="2338" t="s">
        <v>117</v>
      </c>
      <c r="B103" s="2338"/>
      <c r="C103" s="2338"/>
      <c r="D103" s="49"/>
      <c r="E103" s="49"/>
      <c r="F103" s="48"/>
      <c r="G103" s="48"/>
      <c r="H103" s="48"/>
      <c r="I103" s="48"/>
      <c r="J103" s="48"/>
      <c r="K103" s="48"/>
      <c r="L103" s="48"/>
      <c r="M103" s="48"/>
    </row>
    <row r="104" spans="1:13" x14ac:dyDescent="0.25">
      <c r="A104" s="48"/>
      <c r="B104" s="48"/>
      <c r="C104" s="49"/>
      <c r="D104" s="49"/>
      <c r="E104" s="49"/>
      <c r="F104" s="48"/>
      <c r="G104" s="48"/>
      <c r="H104" s="48"/>
      <c r="I104" s="48"/>
      <c r="J104" s="48"/>
      <c r="K104" s="48"/>
      <c r="L104" s="48"/>
      <c r="M104" s="48"/>
    </row>
    <row r="105" spans="1:13" x14ac:dyDescent="0.25">
      <c r="A105" s="48"/>
      <c r="B105" s="722" t="s">
        <v>878</v>
      </c>
      <c r="C105" s="49"/>
      <c r="D105" s="49"/>
      <c r="E105" s="49"/>
      <c r="F105" s="48"/>
      <c r="G105" s="48"/>
      <c r="H105" s="48"/>
      <c r="I105" s="48"/>
      <c r="J105" s="48"/>
      <c r="K105" s="48"/>
      <c r="L105" s="48"/>
      <c r="M105" s="48"/>
    </row>
    <row r="106" spans="1:13" ht="12" customHeight="1" x14ac:dyDescent="0.25">
      <c r="A106" s="48"/>
      <c r="B106" s="48"/>
      <c r="C106" s="49"/>
      <c r="D106" s="49"/>
      <c r="E106" s="49"/>
      <c r="F106" s="48"/>
      <c r="G106" s="48"/>
      <c r="H106" s="48"/>
      <c r="I106" s="48"/>
      <c r="J106" s="48"/>
      <c r="K106" s="48"/>
      <c r="L106" s="48"/>
      <c r="M106" s="48"/>
    </row>
    <row r="107" spans="1:13" x14ac:dyDescent="0.25">
      <c r="A107" s="48"/>
      <c r="B107" s="775" t="s">
        <v>879</v>
      </c>
      <c r="C107" s="49"/>
      <c r="D107" s="49"/>
      <c r="E107" s="49"/>
      <c r="F107" s="48"/>
      <c r="G107" s="48"/>
      <c r="H107" s="48"/>
      <c r="I107" s="48"/>
      <c r="J107" s="48"/>
      <c r="K107" s="48"/>
      <c r="L107" s="48"/>
      <c r="M107" s="48"/>
    </row>
    <row r="108" spans="1:13" x14ac:dyDescent="0.25">
      <c r="A108" s="48"/>
      <c r="B108" s="775" t="s">
        <v>880</v>
      </c>
      <c r="C108" s="49"/>
      <c r="D108" s="49"/>
      <c r="E108" s="49"/>
      <c r="F108" s="48"/>
      <c r="G108" s="48"/>
      <c r="H108" s="48"/>
      <c r="I108" s="48"/>
      <c r="J108" s="48"/>
      <c r="K108" s="48"/>
      <c r="L108" s="48"/>
      <c r="M108" s="48"/>
    </row>
    <row r="109" spans="1:13" x14ac:dyDescent="0.25">
      <c r="A109" s="48"/>
      <c r="B109" s="775" t="s">
        <v>883</v>
      </c>
      <c r="C109" s="49"/>
      <c r="D109" s="49"/>
      <c r="E109" s="49"/>
      <c r="F109" s="48"/>
      <c r="G109" s="48"/>
      <c r="H109" s="48"/>
      <c r="I109" s="48"/>
      <c r="J109" s="48"/>
      <c r="K109" s="48"/>
      <c r="L109" s="48"/>
      <c r="M109" s="48"/>
    </row>
    <row r="110" spans="1:13" x14ac:dyDescent="0.25">
      <c r="A110" s="48"/>
      <c r="B110" s="48"/>
      <c r="C110" s="49"/>
      <c r="D110" s="49"/>
      <c r="E110" s="49"/>
      <c r="F110" s="48"/>
      <c r="G110" s="48"/>
      <c r="H110" s="48"/>
      <c r="I110" s="48"/>
      <c r="J110" s="48"/>
      <c r="K110" s="48"/>
      <c r="L110" s="48"/>
      <c r="M110" s="48"/>
    </row>
    <row r="111" spans="1:13" ht="27.75" customHeight="1" x14ac:dyDescent="0.25">
      <c r="A111" s="48"/>
      <c r="B111" s="554" t="s">
        <v>884</v>
      </c>
      <c r="C111" s="274" t="s">
        <v>881</v>
      </c>
      <c r="D111" s="274" t="s">
        <v>882</v>
      </c>
      <c r="E111" s="275" t="s">
        <v>89</v>
      </c>
      <c r="F111" s="48"/>
      <c r="G111" s="48"/>
      <c r="H111" s="48"/>
      <c r="I111" s="48"/>
      <c r="J111" s="48"/>
      <c r="K111" s="48"/>
      <c r="L111" s="48"/>
      <c r="M111" s="48"/>
    </row>
    <row r="112" spans="1:13" ht="15" customHeight="1" x14ac:dyDescent="0.25">
      <c r="A112" s="48"/>
      <c r="B112" s="273"/>
      <c r="C112" s="536"/>
      <c r="D112" s="273"/>
      <c r="E112" s="556" t="str">
        <f>IF(OR(C112="",D112=""),"",IF(D112&gt;=C112*0.1,"Yes","No"))</f>
        <v/>
      </c>
      <c r="F112" s="48"/>
      <c r="G112" s="48"/>
      <c r="H112" s="48"/>
      <c r="I112" s="48"/>
      <c r="J112" s="48"/>
      <c r="K112" s="48"/>
      <c r="L112" s="48"/>
      <c r="M112" s="48"/>
    </row>
    <row r="113" spans="1:14" x14ac:dyDescent="0.25">
      <c r="A113" s="48"/>
      <c r="B113" s="535"/>
      <c r="C113" s="555"/>
      <c r="D113" s="120"/>
      <c r="E113" s="556" t="str">
        <f t="shared" ref="E113:E116" si="1">IF(OR(C113="",D113=""),"",IF(D113&gt;=C113*0.1,"Yes","No"))</f>
        <v/>
      </c>
      <c r="F113" s="49"/>
      <c r="G113" s="48"/>
      <c r="H113" s="48"/>
      <c r="I113" s="48"/>
      <c r="J113" s="48"/>
      <c r="K113" s="48"/>
      <c r="L113" s="48"/>
      <c r="M113" s="48"/>
    </row>
    <row r="114" spans="1:14" x14ac:dyDescent="0.25">
      <c r="A114" s="48"/>
      <c r="B114" s="535"/>
      <c r="C114" s="555"/>
      <c r="D114" s="120"/>
      <c r="E114" s="556" t="str">
        <f t="shared" si="1"/>
        <v/>
      </c>
      <c r="F114" s="49"/>
      <c r="G114" s="48"/>
      <c r="H114" s="48"/>
      <c r="I114" s="48"/>
      <c r="J114" s="48"/>
      <c r="K114" s="48"/>
      <c r="L114" s="48"/>
      <c r="M114" s="48"/>
    </row>
    <row r="115" spans="1:14" x14ac:dyDescent="0.25">
      <c r="A115" s="48"/>
      <c r="B115" s="535"/>
      <c r="C115" s="555"/>
      <c r="D115" s="120"/>
      <c r="E115" s="556" t="str">
        <f t="shared" si="1"/>
        <v/>
      </c>
      <c r="F115" s="49"/>
      <c r="G115" s="48"/>
      <c r="H115" s="48"/>
      <c r="I115" s="48"/>
      <c r="J115" s="48"/>
      <c r="K115" s="48"/>
      <c r="L115" s="48"/>
      <c r="M115" s="48"/>
    </row>
    <row r="116" spans="1:14" x14ac:dyDescent="0.25">
      <c r="A116" s="48"/>
      <c r="B116" s="535"/>
      <c r="C116" s="555"/>
      <c r="D116" s="120"/>
      <c r="E116" s="556" t="str">
        <f t="shared" si="1"/>
        <v/>
      </c>
      <c r="F116" s="49"/>
      <c r="G116" s="48"/>
      <c r="H116" s="48"/>
      <c r="I116" s="48"/>
      <c r="J116" s="48"/>
      <c r="K116" s="48"/>
      <c r="L116" s="48"/>
      <c r="M116" s="48"/>
    </row>
    <row r="117" spans="1:14" x14ac:dyDescent="0.25">
      <c r="A117" s="48"/>
      <c r="B117" s="49"/>
      <c r="C117" s="49"/>
      <c r="D117" s="759"/>
      <c r="E117" s="886"/>
      <c r="F117" s="48"/>
      <c r="G117" s="48"/>
      <c r="H117" s="49"/>
      <c r="I117" s="48"/>
      <c r="J117" s="48"/>
      <c r="K117" s="48"/>
      <c r="L117" s="48"/>
      <c r="M117" s="48"/>
    </row>
    <row r="118" spans="1:14" ht="48" customHeight="1" x14ac:dyDescent="0.25">
      <c r="A118" s="48"/>
      <c r="B118" s="2357" t="s">
        <v>1442</v>
      </c>
      <c r="C118" s="2358"/>
      <c r="D118" s="1625"/>
      <c r="E118" s="1662"/>
      <c r="F118" s="1662"/>
      <c r="G118" s="1662"/>
      <c r="H118" s="1662"/>
      <c r="I118" s="1662"/>
      <c r="J118" s="1626"/>
      <c r="K118" s="48"/>
      <c r="L118" s="48"/>
      <c r="M118" s="48"/>
    </row>
    <row r="119" spans="1:14" x14ac:dyDescent="0.25">
      <c r="A119" s="48"/>
      <c r="B119" s="49"/>
      <c r="C119" s="49"/>
      <c r="D119" s="49"/>
      <c r="E119" s="49"/>
      <c r="F119" s="48"/>
      <c r="G119" s="48"/>
      <c r="H119" s="48"/>
      <c r="I119" s="48"/>
      <c r="J119" s="48"/>
      <c r="K119" s="48"/>
      <c r="L119" s="48"/>
      <c r="M119" s="48"/>
    </row>
    <row r="120" spans="1:14" ht="18" customHeight="1" x14ac:dyDescent="0.25">
      <c r="A120" s="48"/>
      <c r="B120" s="2346" t="s">
        <v>885</v>
      </c>
      <c r="C120" s="2346"/>
      <c r="D120" s="2346"/>
      <c r="E120" s="157" t="str">
        <f>IF(AND(COUNTIF(E112:E116,"No")=0,COUNTIF(E112:E116,"Yes")&gt;0,D118&lt;&gt;""),"Yes","No")</f>
        <v>No</v>
      </c>
      <c r="F120" s="48"/>
      <c r="G120" s="48"/>
      <c r="H120" s="48"/>
      <c r="I120" s="48"/>
      <c r="J120" s="48"/>
      <c r="K120" s="48"/>
      <c r="L120" s="48"/>
      <c r="M120" s="48"/>
    </row>
    <row r="121" spans="1:14" ht="19.5" customHeight="1" x14ac:dyDescent="0.25">
      <c r="A121" s="48"/>
      <c r="B121" s="49"/>
      <c r="C121" s="49"/>
      <c r="D121" s="49"/>
      <c r="E121" s="49"/>
      <c r="F121" s="48"/>
      <c r="G121" s="48"/>
      <c r="H121" s="48"/>
      <c r="I121" s="48"/>
      <c r="J121" s="48"/>
      <c r="K121" s="48"/>
      <c r="L121" s="48"/>
      <c r="M121" s="48"/>
    </row>
    <row r="122" spans="1:14" ht="16.5" customHeight="1" x14ac:dyDescent="0.25">
      <c r="A122" s="2338" t="s">
        <v>97</v>
      </c>
      <c r="B122" s="2338"/>
      <c r="C122" s="2338"/>
      <c r="D122" s="49"/>
      <c r="E122" s="49"/>
      <c r="F122" s="49"/>
      <c r="G122" s="49"/>
      <c r="H122" s="49"/>
      <c r="I122" s="49"/>
      <c r="J122" s="49"/>
      <c r="K122" s="49"/>
      <c r="L122" s="49"/>
      <c r="M122" s="49"/>
    </row>
    <row r="123" spans="1:14" x14ac:dyDescent="0.25">
      <c r="A123" s="48"/>
      <c r="B123" s="49"/>
      <c r="C123" s="49"/>
      <c r="D123" s="49"/>
      <c r="E123" s="48"/>
      <c r="F123" s="48"/>
      <c r="G123" s="48"/>
      <c r="H123" s="48"/>
      <c r="I123" s="48"/>
      <c r="J123" s="48"/>
      <c r="K123" s="48"/>
      <c r="L123" s="48"/>
      <c r="M123" s="48"/>
    </row>
    <row r="124" spans="1:14" ht="21" customHeight="1" x14ac:dyDescent="0.25">
      <c r="A124" s="48"/>
      <c r="B124" s="2334" t="s">
        <v>98</v>
      </c>
      <c r="C124" s="2335"/>
      <c r="D124" s="2335"/>
      <c r="E124" s="2335"/>
      <c r="F124" s="2335"/>
      <c r="G124" s="829" t="s">
        <v>1297</v>
      </c>
      <c r="H124" s="2336" t="s">
        <v>1298</v>
      </c>
      <c r="I124" s="2337"/>
      <c r="J124" s="48"/>
      <c r="K124" s="48"/>
      <c r="L124" s="48"/>
      <c r="M124" s="48"/>
    </row>
    <row r="125" spans="1:14" ht="39" customHeight="1" x14ac:dyDescent="0.25">
      <c r="A125" s="48"/>
      <c r="B125" s="1906" t="str">
        <f>Submittals!H158</f>
        <v>Select the Submission Stage in Project Information</v>
      </c>
      <c r="C125" s="1907"/>
      <c r="D125" s="1907"/>
      <c r="E125" s="1907"/>
      <c r="F125" s="2205"/>
      <c r="G125" s="1298" t="s">
        <v>62</v>
      </c>
      <c r="H125" s="1625"/>
      <c r="I125" s="1626"/>
      <c r="J125" s="48"/>
      <c r="K125" s="48"/>
      <c r="L125" s="48"/>
      <c r="M125" s="48"/>
      <c r="N125" s="37" t="str">
        <f>IF(OR(B125="/",B125="No evidence required at this submission stage"),"Yes",IF(OR(G125="Already approved at PC",G125="Submitted"),"Yes","No"))</f>
        <v>No</v>
      </c>
    </row>
    <row r="126" spans="1:14" ht="30" customHeight="1" x14ac:dyDescent="0.25">
      <c r="A126" s="48"/>
      <c r="B126" s="1906" t="str">
        <f>Submittals!H159</f>
        <v>Select the Submission Stage in Project Information</v>
      </c>
      <c r="C126" s="1907"/>
      <c r="D126" s="1907"/>
      <c r="E126" s="1907"/>
      <c r="F126" s="2205"/>
      <c r="G126" s="1298" t="s">
        <v>62</v>
      </c>
      <c r="H126" s="1625"/>
      <c r="I126" s="1626"/>
      <c r="J126" s="48"/>
      <c r="K126" s="48"/>
      <c r="L126" s="48"/>
      <c r="M126" s="48"/>
      <c r="N126" s="37" t="str">
        <f>IF(OR(B126="/",B126="No evidence required at this submission stage"),"Yes",IF(OR(G126="Already approved at PC",G126="Submitted"),"Yes","No"))</f>
        <v>No</v>
      </c>
    </row>
    <row r="127" spans="1:14" ht="18.75" customHeight="1" x14ac:dyDescent="0.25">
      <c r="A127" s="48"/>
      <c r="B127" s="49"/>
      <c r="C127" s="49"/>
      <c r="D127" s="49"/>
      <c r="E127" s="49"/>
      <c r="F127" s="48"/>
      <c r="G127" s="48"/>
      <c r="H127" s="48"/>
      <c r="I127" s="48"/>
      <c r="J127" s="48"/>
      <c r="K127" s="48"/>
      <c r="L127" s="48"/>
      <c r="M127" s="48"/>
    </row>
    <row r="128" spans="1:14" ht="16.5" customHeight="1" x14ac:dyDescent="0.25">
      <c r="A128" s="2338" t="s">
        <v>8</v>
      </c>
      <c r="B128" s="2338"/>
      <c r="C128" s="2338"/>
      <c r="D128" s="49"/>
      <c r="E128" s="49"/>
      <c r="F128" s="48"/>
      <c r="G128" s="48"/>
      <c r="H128" s="48"/>
      <c r="I128" s="48"/>
      <c r="J128" s="48"/>
      <c r="K128" s="48"/>
      <c r="L128" s="48"/>
      <c r="M128" s="48"/>
    </row>
    <row r="129" spans="1:13" x14ac:dyDescent="0.25">
      <c r="A129" s="48"/>
      <c r="B129" s="49"/>
      <c r="C129" s="49"/>
      <c r="D129" s="49"/>
      <c r="E129" s="49"/>
      <c r="F129" s="48"/>
      <c r="G129" s="48"/>
      <c r="H129" s="48"/>
      <c r="I129" s="48"/>
      <c r="J129" s="48"/>
      <c r="K129" s="48"/>
      <c r="L129" s="48"/>
      <c r="M129" s="48"/>
    </row>
    <row r="130" spans="1:13" ht="16.5" customHeight="1" x14ac:dyDescent="0.25">
      <c r="A130" s="48"/>
      <c r="B130" s="144" t="s">
        <v>19</v>
      </c>
      <c r="C130" s="8">
        <f>IF(E120="Yes",1,0)</f>
        <v>0</v>
      </c>
      <c r="D130" s="49"/>
      <c r="E130" s="49"/>
      <c r="F130" s="48"/>
      <c r="G130" s="48"/>
      <c r="H130" s="48"/>
      <c r="I130" s="48"/>
      <c r="J130" s="48"/>
      <c r="K130" s="48"/>
      <c r="L130" s="48"/>
      <c r="M130" s="48"/>
    </row>
    <row r="131" spans="1:13" ht="16.5" customHeight="1" x14ac:dyDescent="0.25">
      <c r="A131" s="48"/>
      <c r="B131" s="147" t="s">
        <v>151</v>
      </c>
      <c r="C131" s="7" t="str">
        <f>IF(AND(COUNTIF(N125:N126,"Yes")=2,C130&gt;0),"Yes","No")</f>
        <v>No</v>
      </c>
      <c r="D131" s="49"/>
      <c r="E131" s="49"/>
      <c r="F131" s="48"/>
      <c r="G131" s="48"/>
      <c r="H131" s="48"/>
      <c r="I131" s="48"/>
      <c r="J131" s="48"/>
      <c r="K131" s="48"/>
      <c r="L131" s="48"/>
      <c r="M131" s="48"/>
    </row>
    <row r="132" spans="1:13" ht="21" customHeight="1" x14ac:dyDescent="0.25">
      <c r="A132" s="48"/>
      <c r="B132" s="49"/>
      <c r="C132" s="49"/>
      <c r="D132" s="49"/>
      <c r="E132" s="49"/>
      <c r="F132" s="48"/>
      <c r="G132" s="48"/>
      <c r="H132" s="48"/>
      <c r="I132" s="48"/>
      <c r="J132" s="48"/>
      <c r="K132" s="48"/>
      <c r="L132" s="48"/>
      <c r="M132" s="48"/>
    </row>
    <row r="133" spans="1:13" ht="18" customHeight="1" x14ac:dyDescent="0.25">
      <c r="A133" s="2331" t="s">
        <v>862</v>
      </c>
      <c r="B133" s="2331"/>
      <c r="C133" s="2331"/>
      <c r="D133" s="2331"/>
      <c r="E133" s="2331"/>
      <c r="F133" s="2331"/>
      <c r="G133" s="2331"/>
      <c r="H133" s="2331"/>
      <c r="I133" s="2331"/>
      <c r="J133" s="2331"/>
      <c r="K133" s="2331"/>
      <c r="L133" s="2331"/>
      <c r="M133" s="2331"/>
    </row>
    <row r="134" spans="1:13" x14ac:dyDescent="0.25">
      <c r="A134" s="48"/>
      <c r="B134" s="48"/>
      <c r="C134" s="48"/>
      <c r="D134" s="48"/>
      <c r="E134" s="48"/>
      <c r="F134" s="48"/>
      <c r="G134" s="48"/>
      <c r="H134" s="48"/>
      <c r="I134" s="48"/>
      <c r="J134" s="48"/>
      <c r="K134" s="48"/>
      <c r="L134" s="48"/>
      <c r="M134" s="48"/>
    </row>
    <row r="135" spans="1:13" ht="16.5" customHeight="1" x14ac:dyDescent="0.25">
      <c r="A135" s="2338" t="s">
        <v>117</v>
      </c>
      <c r="B135" s="2338"/>
      <c r="C135" s="2338"/>
      <c r="D135" s="49"/>
      <c r="E135" s="49"/>
      <c r="F135" s="48"/>
      <c r="G135" s="48"/>
      <c r="H135" s="48"/>
      <c r="I135" s="48"/>
      <c r="J135" s="48"/>
      <c r="K135" s="48"/>
      <c r="L135" s="48"/>
      <c r="M135" s="48"/>
    </row>
    <row r="136" spans="1:13" x14ac:dyDescent="0.25">
      <c r="A136" s="48"/>
      <c r="B136" s="49"/>
      <c r="C136" s="49"/>
      <c r="D136" s="49"/>
      <c r="E136" s="48"/>
      <c r="F136" s="48"/>
      <c r="G136" s="48"/>
      <c r="H136" s="48"/>
      <c r="I136" s="48"/>
      <c r="J136" s="48"/>
      <c r="K136" s="48"/>
      <c r="L136" s="48"/>
      <c r="M136" s="48"/>
    </row>
    <row r="137" spans="1:13" x14ac:dyDescent="0.25">
      <c r="A137" s="48"/>
      <c r="B137" s="722" t="s">
        <v>1927</v>
      </c>
      <c r="C137" s="49"/>
      <c r="D137" s="49"/>
      <c r="E137" s="48"/>
      <c r="F137" s="48"/>
      <c r="G137" s="48"/>
      <c r="H137" s="48"/>
      <c r="I137" s="48"/>
      <c r="J137" s="48"/>
      <c r="K137" s="48"/>
      <c r="L137" s="48"/>
      <c r="M137" s="48"/>
    </row>
    <row r="138" spans="1:13" ht="18" customHeight="1" x14ac:dyDescent="0.25">
      <c r="A138" s="48"/>
      <c r="B138" s="722"/>
      <c r="C138" s="49"/>
      <c r="D138" s="49"/>
      <c r="E138" s="48"/>
      <c r="F138" s="48"/>
      <c r="G138" s="48"/>
      <c r="H138" s="48"/>
      <c r="I138" s="48"/>
      <c r="J138" s="48"/>
      <c r="K138" s="48"/>
      <c r="L138" s="48"/>
      <c r="M138" s="48"/>
    </row>
    <row r="139" spans="1:13" ht="17.25" customHeight="1" x14ac:dyDescent="0.25">
      <c r="A139" s="48"/>
      <c r="B139" s="671" t="s">
        <v>1929</v>
      </c>
      <c r="C139" s="49"/>
      <c r="D139" s="49"/>
      <c r="E139" s="49"/>
      <c r="F139" s="49"/>
      <c r="G139" s="48"/>
      <c r="H139" s="48"/>
      <c r="I139" s="48"/>
      <c r="J139" s="48"/>
      <c r="K139" s="48"/>
      <c r="L139" s="48"/>
      <c r="M139" s="48"/>
    </row>
    <row r="140" spans="1:13" ht="11.25" customHeight="1" x14ac:dyDescent="0.25">
      <c r="A140" s="48"/>
      <c r="B140" s="49"/>
      <c r="C140" s="49"/>
      <c r="D140" s="49"/>
      <c r="E140" s="49"/>
      <c r="F140" s="49"/>
      <c r="G140" s="48"/>
      <c r="H140" s="48"/>
      <c r="I140" s="48"/>
      <c r="J140" s="48"/>
      <c r="K140" s="48"/>
      <c r="L140" s="48"/>
      <c r="M140" s="48"/>
    </row>
    <row r="141" spans="1:13" ht="18" customHeight="1" x14ac:dyDescent="0.25">
      <c r="A141" s="48"/>
      <c r="B141" s="1620" t="str">
        <f>IF('Project information'!$C$7="Full Certification stage","• Is access to electric vehicle charging stations rovided to project occupants?","• Will access to electric vehicle charging stations be provided to project occupants?")</f>
        <v>• Will access to electric vehicle charging stations be provided to project occupants?</v>
      </c>
      <c r="C141" s="1620"/>
      <c r="D141" s="1620"/>
      <c r="E141" s="1620"/>
      <c r="F141" s="1620"/>
      <c r="G141" s="850" t="s">
        <v>62</v>
      </c>
      <c r="H141" s="48"/>
      <c r="I141" s="48"/>
      <c r="J141" s="48"/>
      <c r="K141" s="48"/>
      <c r="L141" s="48"/>
      <c r="M141" s="48"/>
    </row>
    <row r="142" spans="1:13" x14ac:dyDescent="0.25">
      <c r="A142" s="48"/>
      <c r="B142" s="49"/>
      <c r="C142" s="49"/>
      <c r="D142" s="49"/>
      <c r="E142" s="48"/>
      <c r="F142" s="48"/>
      <c r="G142" s="48"/>
      <c r="H142" s="48"/>
      <c r="I142" s="48"/>
      <c r="J142" s="48"/>
      <c r="K142" s="48"/>
      <c r="L142" s="48"/>
      <c r="M142" s="48"/>
    </row>
    <row r="143" spans="1:13" ht="18" customHeight="1" x14ac:dyDescent="0.25">
      <c r="A143" s="48"/>
      <c r="B143" s="2370" t="s">
        <v>680</v>
      </c>
      <c r="C143" s="2370"/>
      <c r="D143" s="1025"/>
      <c r="E143" s="48"/>
      <c r="F143" s="48"/>
      <c r="G143" s="48"/>
      <c r="H143" s="48"/>
      <c r="I143" s="48"/>
      <c r="J143" s="48"/>
      <c r="K143" s="48"/>
      <c r="L143" s="48"/>
      <c r="M143" s="48"/>
    </row>
    <row r="144" spans="1:13" ht="18" customHeight="1" x14ac:dyDescent="0.25">
      <c r="A144" s="48"/>
      <c r="B144" s="2370" t="s">
        <v>1930</v>
      </c>
      <c r="C144" s="2370"/>
      <c r="D144" s="1025"/>
      <c r="E144" s="48"/>
      <c r="F144" s="48"/>
      <c r="G144" s="48"/>
      <c r="H144" s="48"/>
      <c r="I144" s="48"/>
      <c r="J144" s="48"/>
      <c r="K144" s="48"/>
      <c r="L144" s="48"/>
      <c r="M144" s="48"/>
    </row>
    <row r="145" spans="1:14" ht="18" customHeight="1" x14ac:dyDescent="0.25">
      <c r="A145" s="48"/>
      <c r="B145" s="49"/>
      <c r="C145" s="49"/>
      <c r="D145" s="49"/>
      <c r="E145" s="48"/>
      <c r="F145" s="48"/>
      <c r="G145" s="48"/>
      <c r="H145" s="48"/>
      <c r="I145" s="48"/>
      <c r="J145" s="48"/>
      <c r="K145" s="48"/>
      <c r="L145" s="48"/>
      <c r="M145" s="48"/>
    </row>
    <row r="146" spans="1:14" ht="18" customHeight="1" x14ac:dyDescent="0.25">
      <c r="A146" s="48"/>
      <c r="B146" s="2346" t="s">
        <v>1445</v>
      </c>
      <c r="C146" s="2346"/>
      <c r="D146" s="2346"/>
      <c r="E146" s="157" t="str">
        <f>IF(AND(G141="Yes",D144&lt;&gt;"",D143&lt;&gt;"",D144&gt;=0.03*D143),"Yes","No")</f>
        <v>No</v>
      </c>
      <c r="F146" s="48"/>
      <c r="G146" s="48"/>
      <c r="H146" s="48"/>
      <c r="I146" s="48"/>
      <c r="J146" s="48"/>
      <c r="K146" s="48"/>
      <c r="L146" s="48"/>
      <c r="M146" s="48"/>
    </row>
    <row r="147" spans="1:14" ht="19.5" customHeight="1" x14ac:dyDescent="0.25">
      <c r="A147" s="48"/>
      <c r="B147" s="49"/>
      <c r="C147" s="49"/>
      <c r="D147" s="49"/>
      <c r="E147" s="48"/>
      <c r="F147" s="48"/>
      <c r="G147" s="48"/>
      <c r="H147" s="48"/>
      <c r="I147" s="48"/>
      <c r="J147" s="48"/>
      <c r="K147" s="48"/>
      <c r="L147" s="48"/>
      <c r="M147" s="48"/>
    </row>
    <row r="148" spans="1:14" ht="16.5" customHeight="1" x14ac:dyDescent="0.25">
      <c r="A148" s="2338" t="s">
        <v>97</v>
      </c>
      <c r="B148" s="2338"/>
      <c r="C148" s="2338"/>
      <c r="D148" s="49"/>
      <c r="E148" s="49"/>
      <c r="F148" s="49"/>
      <c r="G148" s="49"/>
      <c r="H148" s="49"/>
      <c r="I148" s="49"/>
      <c r="J148" s="49"/>
      <c r="K148" s="49"/>
      <c r="L148" s="49"/>
      <c r="M148" s="49"/>
    </row>
    <row r="149" spans="1:14" x14ac:dyDescent="0.25">
      <c r="A149" s="48"/>
      <c r="B149" s="49"/>
      <c r="C149" s="49"/>
      <c r="D149" s="49"/>
      <c r="E149" s="48"/>
      <c r="F149" s="48"/>
      <c r="G149" s="48"/>
      <c r="H149" s="48"/>
      <c r="I149" s="48"/>
      <c r="J149" s="48"/>
      <c r="K149" s="48"/>
      <c r="L149" s="48"/>
      <c r="M149" s="48"/>
    </row>
    <row r="150" spans="1:14" ht="21" customHeight="1" x14ac:dyDescent="0.25">
      <c r="A150" s="48"/>
      <c r="B150" s="2334" t="s">
        <v>98</v>
      </c>
      <c r="C150" s="2335"/>
      <c r="D150" s="2335"/>
      <c r="E150" s="2335"/>
      <c r="F150" s="2335"/>
      <c r="G150" s="829" t="s">
        <v>1297</v>
      </c>
      <c r="H150" s="2336" t="s">
        <v>1298</v>
      </c>
      <c r="I150" s="2337"/>
      <c r="J150" s="48"/>
      <c r="K150" s="48"/>
      <c r="L150" s="48"/>
      <c r="M150" s="48"/>
    </row>
    <row r="151" spans="1:14" ht="27" customHeight="1" x14ac:dyDescent="0.25">
      <c r="A151" s="48"/>
      <c r="B151" s="1906" t="str">
        <f>Submittals!H160</f>
        <v>Select the Submission Stage in Project Information</v>
      </c>
      <c r="C151" s="1907"/>
      <c r="D151" s="1907"/>
      <c r="E151" s="1907"/>
      <c r="F151" s="2205"/>
      <c r="G151" s="828" t="s">
        <v>62</v>
      </c>
      <c r="H151" s="1625"/>
      <c r="I151" s="1626"/>
      <c r="J151" s="48"/>
      <c r="K151" s="48"/>
      <c r="L151" s="48"/>
      <c r="M151" s="48"/>
      <c r="N151" s="37" t="str">
        <f>IF(OR(B151="/",B151="No evidence required at this submission stage"),"Yes",IF(G151="Submitted","Yes","No"))</f>
        <v>No</v>
      </c>
    </row>
    <row r="152" spans="1:14" ht="30" customHeight="1" x14ac:dyDescent="0.25">
      <c r="A152" s="48"/>
      <c r="B152" s="1906" t="str">
        <f>Submittals!H161</f>
        <v>Select the Submission Stage in Project Information</v>
      </c>
      <c r="C152" s="1907"/>
      <c r="D152" s="1907"/>
      <c r="E152" s="1907"/>
      <c r="F152" s="2205"/>
      <c r="G152" s="1298" t="s">
        <v>62</v>
      </c>
      <c r="H152" s="1625"/>
      <c r="I152" s="1626"/>
      <c r="J152" s="48"/>
      <c r="K152" s="48"/>
      <c r="L152" s="48"/>
      <c r="M152" s="48"/>
      <c r="N152" s="37" t="str">
        <f>IF(OR(B152="/",B152="No evidence required at this submission stage"),"Yes",IF(OR(G152="Already approved at PC",G152="Submitted"),"Yes","No"))</f>
        <v>No</v>
      </c>
    </row>
    <row r="153" spans="1:14" ht="19.5" customHeight="1" x14ac:dyDescent="0.25">
      <c r="A153" s="48"/>
      <c r="B153" s="49"/>
      <c r="C153" s="49"/>
      <c r="D153" s="49"/>
      <c r="E153" s="49"/>
      <c r="F153" s="48"/>
      <c r="G153" s="48"/>
      <c r="H153" s="48"/>
      <c r="I153" s="48"/>
      <c r="J153" s="48"/>
      <c r="K153" s="48"/>
      <c r="L153" s="48"/>
      <c r="M153" s="48"/>
    </row>
    <row r="154" spans="1:14" ht="16.5" customHeight="1" x14ac:dyDescent="0.25">
      <c r="A154" s="2338" t="s">
        <v>8</v>
      </c>
      <c r="B154" s="2338"/>
      <c r="C154" s="2338"/>
      <c r="D154" s="49"/>
      <c r="E154" s="49"/>
      <c r="F154" s="48"/>
      <c r="G154" s="48"/>
      <c r="H154" s="48"/>
      <c r="I154" s="48"/>
      <c r="J154" s="48"/>
      <c r="K154" s="48"/>
      <c r="L154" s="48"/>
      <c r="M154" s="48"/>
    </row>
    <row r="155" spans="1:14" x14ac:dyDescent="0.25">
      <c r="A155" s="48"/>
      <c r="B155" s="49"/>
      <c r="C155" s="49"/>
      <c r="D155" s="49"/>
      <c r="E155" s="49"/>
      <c r="F155" s="48"/>
      <c r="G155" s="48"/>
      <c r="H155" s="48"/>
      <c r="I155" s="48"/>
      <c r="J155" s="48"/>
      <c r="K155" s="48"/>
      <c r="L155" s="48"/>
      <c r="M155" s="48"/>
    </row>
    <row r="156" spans="1:14" ht="18" customHeight="1" x14ac:dyDescent="0.25">
      <c r="A156" s="48"/>
      <c r="B156" s="144" t="s">
        <v>19</v>
      </c>
      <c r="C156" s="8">
        <f>IF(E146="Yes",1,0)</f>
        <v>0</v>
      </c>
      <c r="D156" s="49"/>
      <c r="E156" s="49"/>
      <c r="F156" s="48"/>
      <c r="G156" s="48"/>
      <c r="H156" s="48"/>
      <c r="I156" s="48"/>
      <c r="J156" s="48"/>
      <c r="K156" s="48"/>
      <c r="L156" s="48"/>
      <c r="M156" s="48"/>
    </row>
    <row r="157" spans="1:14" ht="18" customHeight="1" x14ac:dyDescent="0.25">
      <c r="A157" s="48"/>
      <c r="B157" s="147" t="s">
        <v>151</v>
      </c>
      <c r="C157" s="7" t="str">
        <f>IF(AND(COUNTIF(N151:N152,"Yes")=2,C156&gt;0),"Yes","No")</f>
        <v>No</v>
      </c>
      <c r="D157" s="48"/>
      <c r="E157" s="48"/>
      <c r="F157" s="48"/>
      <c r="G157" s="48"/>
      <c r="H157" s="48"/>
      <c r="I157" s="48"/>
      <c r="J157" s="48"/>
      <c r="K157" s="48"/>
      <c r="L157" s="48"/>
      <c r="M157" s="48"/>
    </row>
    <row r="158" spans="1:14" ht="21" customHeight="1" x14ac:dyDescent="0.25">
      <c r="A158" s="48"/>
      <c r="B158" s="49"/>
      <c r="C158" s="49"/>
      <c r="D158" s="49"/>
      <c r="E158" s="49"/>
      <c r="F158" s="48"/>
      <c r="G158" s="48"/>
      <c r="H158" s="48"/>
      <c r="I158" s="48"/>
      <c r="J158" s="48"/>
      <c r="K158" s="48"/>
      <c r="L158" s="48"/>
      <c r="M158" s="48"/>
    </row>
    <row r="159" spans="1:14" ht="18" customHeight="1" x14ac:dyDescent="0.25">
      <c r="A159" s="2331" t="s">
        <v>863</v>
      </c>
      <c r="B159" s="2331"/>
      <c r="C159" s="2331"/>
      <c r="D159" s="2331"/>
      <c r="E159" s="2331"/>
      <c r="F159" s="2331"/>
      <c r="G159" s="2331"/>
      <c r="H159" s="2331"/>
      <c r="I159" s="2331"/>
      <c r="J159" s="2331"/>
      <c r="K159" s="2331"/>
      <c r="L159" s="2331"/>
      <c r="M159" s="2331"/>
    </row>
    <row r="160" spans="1:14" x14ac:dyDescent="0.25">
      <c r="A160" s="48"/>
      <c r="B160" s="48"/>
      <c r="C160" s="48"/>
      <c r="D160" s="48"/>
      <c r="E160" s="48"/>
      <c r="F160" s="48"/>
      <c r="G160" s="48"/>
      <c r="H160" s="48"/>
      <c r="I160" s="48"/>
      <c r="J160" s="48"/>
      <c r="K160" s="48"/>
      <c r="L160" s="48"/>
      <c r="M160" s="48"/>
    </row>
    <row r="161" spans="1:14" ht="16.5" customHeight="1" x14ac:dyDescent="0.25">
      <c r="A161" s="2338" t="s">
        <v>117</v>
      </c>
      <c r="B161" s="2338"/>
      <c r="C161" s="2338"/>
      <c r="D161" s="49"/>
      <c r="E161" s="49"/>
      <c r="F161" s="48"/>
      <c r="G161" s="48"/>
      <c r="H161" s="48"/>
      <c r="I161" s="48"/>
      <c r="J161" s="48"/>
      <c r="K161" s="48"/>
      <c r="L161" s="48"/>
      <c r="M161" s="48"/>
    </row>
    <row r="162" spans="1:14" x14ac:dyDescent="0.25">
      <c r="A162" s="48"/>
      <c r="B162" s="49"/>
      <c r="C162" s="49"/>
      <c r="D162" s="49"/>
      <c r="E162" s="48"/>
      <c r="F162" s="48"/>
      <c r="G162" s="48"/>
      <c r="H162" s="48"/>
      <c r="I162" s="48"/>
      <c r="J162" s="48"/>
      <c r="K162" s="48"/>
      <c r="L162" s="48"/>
      <c r="M162" s="48"/>
      <c r="N162" s="48"/>
    </row>
    <row r="163" spans="1:14" x14ac:dyDescent="0.25">
      <c r="A163" s="48"/>
      <c r="B163" s="855" t="s">
        <v>1449</v>
      </c>
      <c r="C163" s="49"/>
      <c r="D163" s="49"/>
      <c r="E163" s="48"/>
      <c r="F163" s="48"/>
      <c r="G163" s="48"/>
      <c r="H163" s="48"/>
      <c r="I163" s="48"/>
      <c r="J163" s="48"/>
      <c r="K163" s="48"/>
      <c r="L163" s="48"/>
      <c r="M163" s="48"/>
      <c r="N163" s="48"/>
    </row>
    <row r="164" spans="1:14" ht="17.25" customHeight="1" x14ac:dyDescent="0.25">
      <c r="A164" s="48"/>
      <c r="B164" s="49"/>
      <c r="C164" s="49"/>
      <c r="D164" s="49"/>
      <c r="E164" s="48"/>
      <c r="F164" s="48"/>
      <c r="G164" s="48"/>
      <c r="H164" s="48"/>
      <c r="I164" s="48"/>
      <c r="J164" s="48"/>
      <c r="K164" s="48"/>
      <c r="L164" s="48"/>
      <c r="M164" s="48"/>
      <c r="N164" s="48"/>
    </row>
    <row r="165" spans="1:14" ht="21" customHeight="1" x14ac:dyDescent="0.25">
      <c r="A165" s="48"/>
      <c r="B165" s="2364" t="s">
        <v>1448</v>
      </c>
      <c r="C165" s="2365"/>
      <c r="D165" s="2365"/>
      <c r="E165" s="2365"/>
      <c r="F165" s="2365"/>
      <c r="G165" s="2365"/>
      <c r="H165" s="2365"/>
      <c r="I165" s="2365"/>
      <c r="J165" s="2366"/>
      <c r="K165" s="48"/>
      <c r="L165" s="48"/>
      <c r="M165" s="48"/>
      <c r="N165" s="48"/>
    </row>
    <row r="166" spans="1:14" ht="21" customHeight="1" x14ac:dyDescent="0.25">
      <c r="A166" s="48"/>
      <c r="B166" s="2170"/>
      <c r="C166" s="2171"/>
      <c r="D166" s="2171"/>
      <c r="E166" s="2171"/>
      <c r="F166" s="2171"/>
      <c r="G166" s="2171"/>
      <c r="H166" s="2171"/>
      <c r="I166" s="2171"/>
      <c r="J166" s="2172"/>
      <c r="K166" s="48"/>
      <c r="L166" s="48"/>
      <c r="M166" s="48"/>
      <c r="N166" s="48"/>
    </row>
    <row r="167" spans="1:14" ht="17.25" customHeight="1" x14ac:dyDescent="0.25">
      <c r="A167" s="48"/>
      <c r="B167" s="49"/>
      <c r="C167" s="49"/>
      <c r="D167" s="49"/>
      <c r="E167" s="48"/>
      <c r="F167" s="48"/>
      <c r="G167" s="48"/>
      <c r="H167" s="48"/>
      <c r="I167" s="48"/>
      <c r="J167" s="48"/>
      <c r="K167" s="48"/>
      <c r="L167" s="48"/>
      <c r="M167" s="48"/>
      <c r="N167" s="48"/>
    </row>
    <row r="168" spans="1:14" x14ac:dyDescent="0.25">
      <c r="A168" s="48"/>
      <c r="B168" s="671" t="s">
        <v>1447</v>
      </c>
      <c r="C168" s="49"/>
      <c r="D168" s="49"/>
      <c r="E168" s="48"/>
      <c r="F168" s="48"/>
      <c r="G168" s="48"/>
      <c r="H168" s="48"/>
      <c r="I168" s="48"/>
      <c r="J168" s="48"/>
      <c r="K168" s="48"/>
      <c r="L168" s="48"/>
      <c r="M168" s="48"/>
      <c r="N168" s="48"/>
    </row>
    <row r="169" spans="1:14" ht="12" customHeight="1" x14ac:dyDescent="0.25">
      <c r="A169" s="48"/>
      <c r="B169" s="49"/>
      <c r="C169" s="49"/>
      <c r="D169" s="49"/>
      <c r="E169" s="48"/>
      <c r="F169" s="48"/>
      <c r="G169" s="48"/>
      <c r="H169" s="48"/>
      <c r="I169" s="48"/>
      <c r="J169" s="48"/>
      <c r="K169" s="48"/>
      <c r="L169" s="48"/>
      <c r="M169" s="48"/>
      <c r="N169" s="48"/>
    </row>
    <row r="170" spans="1:14" ht="18" customHeight="1" x14ac:dyDescent="0.25">
      <c r="A170" s="48"/>
      <c r="B170" s="2367" t="str">
        <f>IF('Project information'!$C$7="Full Certification stage","Description of the services/incentives implemented to encourage occupants to use a green mode of transport:","Description of the services/incentives to be implemented to encourage occupants to use a green mode of transport:")</f>
        <v>Description of the services/incentives to be implemented to encourage occupants to use a green mode of transport:</v>
      </c>
      <c r="C170" s="2368"/>
      <c r="D170" s="2368"/>
      <c r="E170" s="2368"/>
      <c r="F170" s="2368"/>
      <c r="G170" s="2368"/>
      <c r="H170" s="2368"/>
      <c r="I170" s="2368"/>
      <c r="J170" s="2369"/>
      <c r="K170" s="48"/>
      <c r="L170" s="48"/>
      <c r="M170" s="48"/>
      <c r="N170" s="48"/>
    </row>
    <row r="171" spans="1:14" ht="42" customHeight="1" x14ac:dyDescent="0.25">
      <c r="A171" s="48"/>
      <c r="B171" s="2167"/>
      <c r="C171" s="2168"/>
      <c r="D171" s="2168"/>
      <c r="E171" s="2168"/>
      <c r="F171" s="2168"/>
      <c r="G171" s="2168"/>
      <c r="H171" s="2168"/>
      <c r="I171" s="2168"/>
      <c r="J171" s="2169"/>
      <c r="K171" s="48"/>
      <c r="L171" s="48"/>
      <c r="M171" s="48"/>
      <c r="N171" s="48"/>
    </row>
    <row r="172" spans="1:14" ht="42" customHeight="1" x14ac:dyDescent="0.25">
      <c r="A172" s="48"/>
      <c r="B172" s="2361"/>
      <c r="C172" s="2362"/>
      <c r="D172" s="2362"/>
      <c r="E172" s="2362"/>
      <c r="F172" s="2362"/>
      <c r="G172" s="2362"/>
      <c r="H172" s="2362"/>
      <c r="I172" s="2362"/>
      <c r="J172" s="2363"/>
      <c r="K172" s="48"/>
      <c r="L172" s="48"/>
      <c r="M172" s="48"/>
      <c r="N172" s="48"/>
    </row>
    <row r="173" spans="1:14" ht="21" customHeight="1" x14ac:dyDescent="0.25">
      <c r="A173" s="48"/>
      <c r="B173" s="49"/>
      <c r="C173" s="49"/>
      <c r="D173" s="49"/>
      <c r="E173" s="48"/>
      <c r="F173" s="48"/>
      <c r="G173" s="48"/>
      <c r="H173" s="48"/>
      <c r="I173" s="48"/>
      <c r="J173" s="48"/>
      <c r="K173" s="48"/>
      <c r="L173" s="48"/>
      <c r="M173" s="48"/>
      <c r="N173" s="48"/>
    </row>
    <row r="174" spans="1:14" ht="18" customHeight="1" x14ac:dyDescent="0.25">
      <c r="A174" s="48"/>
      <c r="B174" s="2346" t="s">
        <v>1446</v>
      </c>
      <c r="C174" s="2346"/>
      <c r="D174" s="2346"/>
      <c r="E174" s="157" t="str">
        <f>IF(AND(B171&lt;&gt;"",B172&lt;&gt;""),"Yes","No")</f>
        <v>No</v>
      </c>
      <c r="F174" s="48"/>
      <c r="G174" s="48"/>
      <c r="H174" s="48"/>
      <c r="I174" s="48"/>
      <c r="J174" s="48"/>
      <c r="K174" s="48"/>
      <c r="L174" s="48"/>
      <c r="M174" s="48"/>
      <c r="N174" s="48"/>
    </row>
    <row r="175" spans="1:14" ht="19.5" customHeight="1" x14ac:dyDescent="0.25">
      <c r="A175" s="48"/>
      <c r="B175" s="49"/>
      <c r="C175" s="49"/>
      <c r="D175" s="49"/>
      <c r="E175" s="48"/>
      <c r="F175" s="48"/>
      <c r="G175" s="48"/>
      <c r="H175" s="48"/>
      <c r="I175" s="48"/>
      <c r="J175" s="48"/>
      <c r="K175" s="48"/>
      <c r="L175" s="48"/>
      <c r="M175" s="48"/>
      <c r="N175" s="48"/>
    </row>
    <row r="176" spans="1:14" ht="16.5" customHeight="1" x14ac:dyDescent="0.25">
      <c r="A176" s="2338" t="s">
        <v>97</v>
      </c>
      <c r="B176" s="2338"/>
      <c r="C176" s="2338"/>
      <c r="D176" s="49"/>
      <c r="E176" s="49"/>
      <c r="F176" s="49"/>
      <c r="G176" s="49"/>
      <c r="H176" s="49"/>
      <c r="I176" s="49"/>
      <c r="J176" s="49"/>
      <c r="K176" s="49"/>
      <c r="L176" s="49"/>
      <c r="M176" s="49"/>
      <c r="N176" s="49"/>
    </row>
    <row r="177" spans="1:14" x14ac:dyDescent="0.25">
      <c r="A177" s="48"/>
      <c r="B177" s="49"/>
      <c r="C177" s="49"/>
      <c r="D177" s="49"/>
      <c r="E177" s="48"/>
      <c r="F177" s="48"/>
      <c r="G177" s="48"/>
      <c r="H177" s="48"/>
      <c r="I177" s="48"/>
      <c r="J177" s="48"/>
      <c r="K177" s="48"/>
      <c r="L177" s="48"/>
      <c r="M177" s="48"/>
      <c r="N177" s="48"/>
    </row>
    <row r="178" spans="1:14" ht="21" customHeight="1" x14ac:dyDescent="0.25">
      <c r="A178" s="48"/>
      <c r="B178" s="2334" t="s">
        <v>98</v>
      </c>
      <c r="C178" s="2335"/>
      <c r="D178" s="2335"/>
      <c r="E178" s="2335"/>
      <c r="F178" s="2335"/>
      <c r="G178" s="829" t="s">
        <v>1297</v>
      </c>
      <c r="H178" s="2336" t="s">
        <v>1298</v>
      </c>
      <c r="I178" s="2337"/>
      <c r="J178" s="48"/>
      <c r="K178" s="48"/>
      <c r="L178" s="48"/>
      <c r="M178" s="48"/>
      <c r="N178" s="48"/>
    </row>
    <row r="179" spans="1:14" ht="30" customHeight="1" x14ac:dyDescent="0.25">
      <c r="A179" s="48"/>
      <c r="B179" s="1906" t="str">
        <f>Submittals!H162</f>
        <v>Select the Submission Stage in Project Information</v>
      </c>
      <c r="C179" s="1907"/>
      <c r="D179" s="1907"/>
      <c r="E179" s="1907"/>
      <c r="F179" s="2205"/>
      <c r="G179" s="1254" t="s">
        <v>62</v>
      </c>
      <c r="H179" s="1625"/>
      <c r="I179" s="1626"/>
      <c r="J179" s="48"/>
      <c r="K179" s="48"/>
      <c r="L179" s="48"/>
      <c r="M179" s="48"/>
      <c r="N179" s="37" t="str">
        <f>IF(OR(B179="/",B179="No evidence required at this submission stage"),"Yes",IF(G179="Submitted","Yes","No"))</f>
        <v>No</v>
      </c>
    </row>
    <row r="180" spans="1:14" ht="30" customHeight="1" x14ac:dyDescent="0.25">
      <c r="A180" s="48"/>
      <c r="B180" s="1906" t="str">
        <f>Submittals!H163</f>
        <v>Select the Submission Stage in Project Information</v>
      </c>
      <c r="C180" s="1907"/>
      <c r="D180" s="1907"/>
      <c r="E180" s="1907"/>
      <c r="F180" s="2205"/>
      <c r="G180" s="1298" t="s">
        <v>62</v>
      </c>
      <c r="H180" s="1625"/>
      <c r="I180" s="1626"/>
      <c r="J180" s="48"/>
      <c r="K180" s="48"/>
      <c r="L180" s="48"/>
      <c r="M180" s="48"/>
      <c r="N180" s="37" t="str">
        <f>IF(OR(B180="/",B180="No evidence required at this submission stage"),"Yes",IF(OR(G180="Already approved at PC",G180="Submitted"),"Yes","No"))</f>
        <v>No</v>
      </c>
    </row>
    <row r="181" spans="1:14" x14ac:dyDescent="0.25">
      <c r="A181" s="48"/>
      <c r="B181" s="49"/>
      <c r="C181" s="49"/>
      <c r="D181" s="49"/>
      <c r="E181" s="49"/>
      <c r="F181" s="48"/>
      <c r="G181" s="48"/>
      <c r="H181" s="48"/>
      <c r="I181" s="48"/>
      <c r="J181" s="48"/>
      <c r="K181" s="48"/>
      <c r="L181" s="48"/>
      <c r="M181" s="48"/>
    </row>
    <row r="182" spans="1:14" ht="16.5" customHeight="1" x14ac:dyDescent="0.25">
      <c r="A182" s="2338" t="s">
        <v>8</v>
      </c>
      <c r="B182" s="2338"/>
      <c r="C182" s="2338"/>
      <c r="D182" s="49"/>
      <c r="E182" s="49"/>
      <c r="F182" s="48"/>
      <c r="G182" s="48"/>
      <c r="H182" s="48"/>
      <c r="I182" s="48"/>
      <c r="J182" s="48"/>
      <c r="K182" s="48"/>
      <c r="L182" s="48"/>
      <c r="M182" s="48"/>
    </row>
    <row r="183" spans="1:14" x14ac:dyDescent="0.25">
      <c r="A183" s="48"/>
      <c r="B183" s="49"/>
      <c r="C183" s="49"/>
      <c r="D183" s="49"/>
      <c r="E183" s="49"/>
      <c r="F183" s="48"/>
      <c r="G183" s="48"/>
      <c r="H183" s="48"/>
      <c r="I183" s="48"/>
      <c r="J183" s="48"/>
      <c r="K183" s="48"/>
      <c r="L183" s="48"/>
      <c r="M183" s="48"/>
    </row>
    <row r="184" spans="1:14" ht="18" customHeight="1" x14ac:dyDescent="0.25">
      <c r="A184" s="48"/>
      <c r="B184" s="144" t="s">
        <v>19</v>
      </c>
      <c r="C184" s="8">
        <f>IF(E174="Yes",1,0)</f>
        <v>0</v>
      </c>
      <c r="D184" s="49"/>
      <c r="E184" s="49"/>
      <c r="F184" s="48"/>
      <c r="G184" s="48"/>
      <c r="H184" s="48"/>
      <c r="I184" s="48"/>
      <c r="J184" s="48"/>
      <c r="K184" s="48"/>
      <c r="L184" s="48"/>
      <c r="M184" s="48"/>
    </row>
    <row r="185" spans="1:14" ht="18" customHeight="1" x14ac:dyDescent="0.25">
      <c r="A185" s="48"/>
      <c r="B185" s="147" t="s">
        <v>151</v>
      </c>
      <c r="C185" s="7" t="str">
        <f>IF(AND(COUNTIF(N179:N180,"Yes")=2,C184&gt;0),"Yes","No")</f>
        <v>No</v>
      </c>
      <c r="D185" s="48"/>
      <c r="E185" s="48"/>
      <c r="F185" s="48"/>
      <c r="G185" s="48"/>
      <c r="H185" s="48"/>
      <c r="I185" s="48"/>
      <c r="J185" s="48"/>
      <c r="K185" s="48"/>
      <c r="L185" s="48"/>
      <c r="M185" s="48"/>
    </row>
    <row r="186" spans="1:14" ht="22.5" customHeight="1" x14ac:dyDescent="0.25">
      <c r="A186" s="48"/>
      <c r="B186" s="49"/>
      <c r="C186" s="49"/>
      <c r="D186" s="49"/>
      <c r="E186" s="49"/>
      <c r="F186" s="48"/>
      <c r="G186" s="48"/>
      <c r="H186" s="48"/>
      <c r="I186" s="48"/>
      <c r="J186" s="48"/>
      <c r="K186" s="48"/>
      <c r="L186" s="48"/>
      <c r="M186" s="48"/>
    </row>
    <row r="187" spans="1:14" hidden="1" x14ac:dyDescent="0.25"/>
    <row r="188" spans="1:14" hidden="1" x14ac:dyDescent="0.25"/>
    <row r="189" spans="1:14" hidden="1" x14ac:dyDescent="0.25"/>
    <row r="190" spans="1:14" hidden="1" x14ac:dyDescent="0.25"/>
    <row r="191" spans="1:14" hidden="1" x14ac:dyDescent="0.25"/>
    <row r="192" spans="1:14"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sheetData>
  <sheetProtection algorithmName="SHA-512" hashValue="rD7lzRZ9XE1XjADBTw/WHjBz6/eRS1ew2VE0oZJX/7StgIX8e72DRVUxX6Fro+cCdHrxuWkG7rBYqOdUB8HtZg==" saltValue="gMyb56Hag2dwiNUQTOD7dQ==" spinCount="100000" sheet="1" objects="1" scenarios="1"/>
  <mergeCells count="95">
    <mergeCell ref="G30:I30"/>
    <mergeCell ref="B143:C143"/>
    <mergeCell ref="B144:C144"/>
    <mergeCell ref="B39:F39"/>
    <mergeCell ref="H38:I38"/>
    <mergeCell ref="H39:I39"/>
    <mergeCell ref="H40:I40"/>
    <mergeCell ref="B65:F65"/>
    <mergeCell ref="H65:I65"/>
    <mergeCell ref="B40:F40"/>
    <mergeCell ref="B59:D59"/>
    <mergeCell ref="B30:D30"/>
    <mergeCell ref="B31:D31"/>
    <mergeCell ref="A103:C103"/>
    <mergeCell ref="H92:I92"/>
    <mergeCell ref="A122:C122"/>
    <mergeCell ref="B16:E16"/>
    <mergeCell ref="B17:E17"/>
    <mergeCell ref="A22:M22"/>
    <mergeCell ref="B14:E14"/>
    <mergeCell ref="B15:E15"/>
    <mergeCell ref="B20:E20"/>
    <mergeCell ref="B32:D32"/>
    <mergeCell ref="A182:C182"/>
    <mergeCell ref="A159:M159"/>
    <mergeCell ref="B150:F150"/>
    <mergeCell ref="B178:F178"/>
    <mergeCell ref="B179:F179"/>
    <mergeCell ref="B151:F151"/>
    <mergeCell ref="H150:I150"/>
    <mergeCell ref="H151:I151"/>
    <mergeCell ref="H178:I178"/>
    <mergeCell ref="H179:I179"/>
    <mergeCell ref="A176:C176"/>
    <mergeCell ref="B174:D174"/>
    <mergeCell ref="B165:J166"/>
    <mergeCell ref="B170:J170"/>
    <mergeCell ref="B171:J171"/>
    <mergeCell ref="B172:J172"/>
    <mergeCell ref="A148:C148"/>
    <mergeCell ref="A154:C154"/>
    <mergeCell ref="A161:C161"/>
    <mergeCell ref="B152:F152"/>
    <mergeCell ref="H152:I152"/>
    <mergeCell ref="B141:F141"/>
    <mergeCell ref="B146:D146"/>
    <mergeCell ref="B120:D120"/>
    <mergeCell ref="A101:M101"/>
    <mergeCell ref="B92:F92"/>
    <mergeCell ref="A128:C128"/>
    <mergeCell ref="A135:C135"/>
    <mergeCell ref="A133:M133"/>
    <mergeCell ref="B124:F124"/>
    <mergeCell ref="H124:I124"/>
    <mergeCell ref="H125:I125"/>
    <mergeCell ref="H126:I126"/>
    <mergeCell ref="A90:C90"/>
    <mergeCell ref="A96:C96"/>
    <mergeCell ref="B93:F93"/>
    <mergeCell ref="B94:F94"/>
    <mergeCell ref="B56:F56"/>
    <mergeCell ref="B57:F57"/>
    <mergeCell ref="B88:D88"/>
    <mergeCell ref="A1:M1"/>
    <mergeCell ref="A72:M72"/>
    <mergeCell ref="B18:E18"/>
    <mergeCell ref="A36:C36"/>
    <mergeCell ref="A42:C42"/>
    <mergeCell ref="A49:C49"/>
    <mergeCell ref="A5:M7"/>
    <mergeCell ref="I2:L4"/>
    <mergeCell ref="B11:F11"/>
    <mergeCell ref="B12:F12"/>
    <mergeCell ref="B34:D34"/>
    <mergeCell ref="B19:E19"/>
    <mergeCell ref="B63:F63"/>
    <mergeCell ref="B64:F64"/>
    <mergeCell ref="B55:F55"/>
    <mergeCell ref="A24:C24"/>
    <mergeCell ref="B180:F180"/>
    <mergeCell ref="H180:I180"/>
    <mergeCell ref="A9:M9"/>
    <mergeCell ref="B125:F125"/>
    <mergeCell ref="B126:F126"/>
    <mergeCell ref="B118:C118"/>
    <mergeCell ref="D118:J118"/>
    <mergeCell ref="A74:C74"/>
    <mergeCell ref="A61:C61"/>
    <mergeCell ref="A67:C67"/>
    <mergeCell ref="H93:I93"/>
    <mergeCell ref="H94:I94"/>
    <mergeCell ref="H63:I63"/>
    <mergeCell ref="H64:I64"/>
    <mergeCell ref="B38:F38"/>
    <mergeCell ref="A47:M47"/>
  </mergeCells>
  <conditionalFormatting sqref="G151:I151 G179:I179">
    <cfRule type="expression" dxfId="136" priority="61">
      <formula>$B151="/"</formula>
    </cfRule>
    <cfRule type="expression" dxfId="135" priority="62">
      <formula>$B151="No evidence required at this submission stage"</formula>
    </cfRule>
  </conditionalFormatting>
  <conditionalFormatting sqref="G94:I94">
    <cfRule type="expression" dxfId="134" priority="55">
      <formula>$B94="/"</formula>
    </cfRule>
    <cfRule type="expression" dxfId="133" priority="56">
      <formula>$B94="No evidence required at this submission stage"</formula>
    </cfRule>
  </conditionalFormatting>
  <conditionalFormatting sqref="G39:I40">
    <cfRule type="expression" dxfId="132" priority="51">
      <formula>$B39="/"</formula>
    </cfRule>
    <cfRule type="expression" dxfId="131" priority="52">
      <formula>$B39="No evidence required at this submission stage"</formula>
    </cfRule>
  </conditionalFormatting>
  <conditionalFormatting sqref="G64:I64 H65:I65">
    <cfRule type="expression" dxfId="130" priority="47">
      <formula>$B64="/"</formula>
    </cfRule>
    <cfRule type="expression" dxfId="129" priority="48">
      <formula>$B64="No evidence required at this submission stage"</formula>
    </cfRule>
  </conditionalFormatting>
  <conditionalFormatting sqref="B171">
    <cfRule type="expression" dxfId="128" priority="45">
      <formula>$B171="/"</formula>
    </cfRule>
    <cfRule type="expression" dxfId="127" priority="46">
      <formula>$B171="No evidence required at this submission stage"</formula>
    </cfRule>
  </conditionalFormatting>
  <conditionalFormatting sqref="B172">
    <cfRule type="expression" dxfId="126" priority="39">
      <formula>$B172="/"</formula>
    </cfRule>
    <cfRule type="expression" dxfId="125" priority="40">
      <formula>$B172="No evidence required at this submission stage"</formula>
    </cfRule>
  </conditionalFormatting>
  <conditionalFormatting sqref="G65">
    <cfRule type="expression" dxfId="124" priority="37">
      <formula>$B65="/"</formula>
    </cfRule>
    <cfRule type="expression" dxfId="123" priority="38">
      <formula>$B65="No evidence required at this submission stage"</formula>
    </cfRule>
  </conditionalFormatting>
  <conditionalFormatting sqref="H93:I93">
    <cfRule type="expression" dxfId="122" priority="19">
      <formula>$B93="/"</formula>
    </cfRule>
    <cfRule type="expression" dxfId="121" priority="20">
      <formula>$B93="No evidence required at this submission stage"</formula>
    </cfRule>
  </conditionalFormatting>
  <conditionalFormatting sqref="G93">
    <cfRule type="expression" dxfId="120" priority="17">
      <formula>$B93="/"</formula>
    </cfRule>
    <cfRule type="expression" dxfId="119" priority="18">
      <formula>$B93="No evidence required at this submission stage"</formula>
    </cfRule>
  </conditionalFormatting>
  <conditionalFormatting sqref="H125:I125">
    <cfRule type="expression" dxfId="118" priority="15">
      <formula>$B125="/"</formula>
    </cfRule>
    <cfRule type="expression" dxfId="117" priority="16">
      <formula>$B125="No evidence required at this submission stage"</formula>
    </cfRule>
  </conditionalFormatting>
  <conditionalFormatting sqref="G125">
    <cfRule type="expression" dxfId="116" priority="13">
      <formula>$B125="/"</formula>
    </cfRule>
    <cfRule type="expression" dxfId="115" priority="14">
      <formula>$B125="No evidence required at this submission stage"</formula>
    </cfRule>
  </conditionalFormatting>
  <conditionalFormatting sqref="H126:I126">
    <cfRule type="expression" dxfId="114" priority="11">
      <formula>$B126="/"</formula>
    </cfRule>
    <cfRule type="expression" dxfId="113" priority="12">
      <formula>$B126="No evidence required at this submission stage"</formula>
    </cfRule>
  </conditionalFormatting>
  <conditionalFormatting sqref="G126">
    <cfRule type="expression" dxfId="112" priority="9">
      <formula>$B126="/"</formula>
    </cfRule>
    <cfRule type="expression" dxfId="111" priority="10">
      <formula>$B126="No evidence required at this submission stage"</formula>
    </cfRule>
  </conditionalFormatting>
  <conditionalFormatting sqref="H152:I152">
    <cfRule type="expression" dxfId="110" priority="7">
      <formula>$B152="/"</formula>
    </cfRule>
    <cfRule type="expression" dxfId="109" priority="8">
      <formula>$B152="No evidence required at this submission stage"</formula>
    </cfRule>
  </conditionalFormatting>
  <conditionalFormatting sqref="G152">
    <cfRule type="expression" dxfId="108" priority="5">
      <formula>$B152="/"</formula>
    </cfRule>
    <cfRule type="expression" dxfId="107" priority="6">
      <formula>$B152="No evidence required at this submission stage"</formula>
    </cfRule>
  </conditionalFormatting>
  <conditionalFormatting sqref="H180:I180">
    <cfRule type="expression" dxfId="106" priority="3">
      <formula>$B180="/"</formula>
    </cfRule>
    <cfRule type="expression" dxfId="105" priority="4">
      <formula>$B180="No evidence required at this submission stage"</formula>
    </cfRule>
  </conditionalFormatting>
  <conditionalFormatting sqref="G180">
    <cfRule type="expression" dxfId="104" priority="1">
      <formula>$B180="/"</formula>
    </cfRule>
    <cfRule type="expression" dxfId="103" priority="2">
      <formula>$B180="No evidence required at this submission stage"</formula>
    </cfRule>
  </conditionalFormatting>
  <dataValidations count="6">
    <dataValidation type="list" allowBlank="1" showInputMessage="1" showErrorMessage="1" sqref="B84:B86">
      <formula1>"Select,metro station, bus stop"</formula1>
    </dataValidation>
    <dataValidation type="list" allowBlank="1" showInputMessage="1" showErrorMessage="1" sqref="E30:E32 G55:G57 G141">
      <formula1>"Select,Yes,No"</formula1>
    </dataValidation>
    <dataValidation allowBlank="1" showInputMessage="1" showErrorMessage="1" prompt="Weekdays, Saturday, Sunday, etc." sqref="B111:B116"/>
    <dataValidation type="list" allowBlank="1" showInputMessage="1" showErrorMessage="1" sqref="G39:G40 G64 G151 G94 G179">
      <formula1>"Select,Submitted,Not submitted"</formula1>
    </dataValidation>
    <dataValidation allowBlank="1" showInputMessage="1" showErrorMessage="1" prompt="Number of buses circulating, number of seats in each bus, schedules, routes, etc." sqref="B118:J118"/>
    <dataValidation type="list" allowBlank="1" showInputMessage="1" showErrorMessage="1" sqref="G65 G152 G93 G125:G126 G180">
      <formula1>Sub_FC</formula1>
    </dataValidation>
  </dataValidations>
  <hyperlinks>
    <hyperlink ref="M2" location="'LT-1 Base building '!B3" tooltip="LT-1" display="LT-1"/>
    <hyperlink ref="M4" location="'LT-4 Facilities and amenities '!B3" tooltip="LT-4" display="LT-4"/>
    <hyperlink ref="M3" location="'LT-2 Tenancy lease'!B3" tooltip="LT-2" display="LT-2"/>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6923C"/>
  </sheetPr>
  <dimension ref="A1:P134"/>
  <sheetViews>
    <sheetView showGridLines="0" showRowColHeaders="0" workbookViewId="0">
      <pane ySplit="8" topLeftCell="A9" activePane="bottomLeft" state="frozen"/>
      <selection activeCell="I2" sqref="I2:J4"/>
      <selection pane="bottomLeft" activeCell="A8" sqref="A8"/>
    </sheetView>
  </sheetViews>
  <sheetFormatPr defaultColWidth="0" defaultRowHeight="15" customHeight="1" zeroHeight="1" x14ac:dyDescent="0.25"/>
  <cols>
    <col min="1" max="1" width="3.7109375" style="37" customWidth="1"/>
    <col min="2" max="2" width="18.42578125" style="37" customWidth="1"/>
    <col min="3" max="3" width="18.7109375" style="37" customWidth="1"/>
    <col min="4" max="5" width="18.42578125" style="37" customWidth="1"/>
    <col min="6" max="6" width="18" style="37" customWidth="1"/>
    <col min="7" max="7" width="19.5703125" style="37" customWidth="1"/>
    <col min="8" max="8" width="20.140625" style="37" customWidth="1"/>
    <col min="9" max="9" width="10.28515625" style="37" customWidth="1"/>
    <col min="10" max="11" width="11.140625" style="37" customWidth="1"/>
    <col min="12" max="12" width="4.85546875" style="37" customWidth="1"/>
    <col min="13" max="13" width="8.7109375" style="37" customWidth="1"/>
    <col min="14" max="14" width="9.140625" style="37" hidden="1" customWidth="1"/>
    <col min="15" max="15" width="23.7109375" style="37" hidden="1" customWidth="1"/>
    <col min="16" max="16" width="15.28515625" style="37" hidden="1" customWidth="1"/>
    <col min="17" max="16384" width="9.140625" style="37" hidden="1"/>
  </cols>
  <sheetData>
    <row r="1" spans="1:13" ht="23.25" x14ac:dyDescent="0.25">
      <c r="A1" s="2341" t="s">
        <v>572</v>
      </c>
      <c r="B1" s="2341"/>
      <c r="C1" s="2341"/>
      <c r="D1" s="2341"/>
      <c r="E1" s="2341"/>
      <c r="F1" s="2341"/>
      <c r="G1" s="2341"/>
      <c r="H1" s="2341"/>
      <c r="I1" s="2341"/>
      <c r="J1" s="2341"/>
      <c r="K1" s="2341"/>
      <c r="L1" s="2341"/>
      <c r="M1" s="2341"/>
    </row>
    <row r="2" spans="1:13" ht="15" customHeight="1" x14ac:dyDescent="0.25">
      <c r="A2" s="48"/>
      <c r="B2" s="49"/>
      <c r="C2" s="49"/>
      <c r="D2" s="49"/>
      <c r="E2" s="49"/>
      <c r="F2" s="48"/>
      <c r="G2" s="48"/>
      <c r="H2" s="48"/>
      <c r="I2" s="1694" t="s">
        <v>357</v>
      </c>
      <c r="J2" s="1694"/>
      <c r="K2" s="1694"/>
      <c r="L2" s="1694"/>
      <c r="M2" s="141" t="s">
        <v>345</v>
      </c>
    </row>
    <row r="3" spans="1:13" ht="15" customHeight="1" x14ac:dyDescent="0.25">
      <c r="A3" s="48"/>
      <c r="B3" s="49"/>
      <c r="C3" s="49"/>
      <c r="D3" s="49"/>
      <c r="E3" s="49"/>
      <c r="F3" s="48"/>
      <c r="G3" s="48"/>
      <c r="H3" s="48"/>
      <c r="I3" s="1694"/>
      <c r="J3" s="1694"/>
      <c r="K3" s="1694"/>
      <c r="L3" s="1694"/>
      <c r="M3" s="141" t="s">
        <v>346</v>
      </c>
    </row>
    <row r="4" spans="1:13" ht="15" customHeight="1" x14ac:dyDescent="0.25">
      <c r="A4" s="48"/>
      <c r="B4" s="49"/>
      <c r="C4" s="49"/>
      <c r="D4" s="49"/>
      <c r="E4" s="49"/>
      <c r="F4" s="48"/>
      <c r="G4" s="48"/>
      <c r="H4" s="48"/>
      <c r="I4" s="2320"/>
      <c r="J4" s="2320"/>
      <c r="K4" s="2320"/>
      <c r="L4" s="2320"/>
      <c r="M4" s="141" t="s">
        <v>347</v>
      </c>
    </row>
    <row r="5" spans="1:13" ht="18" customHeight="1" x14ac:dyDescent="0.25">
      <c r="A5" s="2321" t="s">
        <v>2847</v>
      </c>
      <c r="B5" s="2322"/>
      <c r="C5" s="2322"/>
      <c r="D5" s="2322"/>
      <c r="E5" s="2322"/>
      <c r="F5" s="2322"/>
      <c r="G5" s="2322"/>
      <c r="H5" s="2322"/>
      <c r="I5" s="2322"/>
      <c r="J5" s="2322"/>
      <c r="K5" s="2322"/>
      <c r="L5" s="2322"/>
      <c r="M5" s="2323"/>
    </row>
    <row r="6" spans="1:13" ht="18" customHeight="1" x14ac:dyDescent="0.25">
      <c r="A6" s="2324"/>
      <c r="B6" s="1708"/>
      <c r="C6" s="1708"/>
      <c r="D6" s="1708"/>
      <c r="E6" s="1708"/>
      <c r="F6" s="1708"/>
      <c r="G6" s="1708"/>
      <c r="H6" s="1708"/>
      <c r="I6" s="1708"/>
      <c r="J6" s="1708"/>
      <c r="K6" s="1708"/>
      <c r="L6" s="1708"/>
      <c r="M6" s="2325"/>
    </row>
    <row r="7" spans="1:13" ht="18" customHeight="1" x14ac:dyDescent="0.25">
      <c r="A7" s="2326"/>
      <c r="B7" s="2327"/>
      <c r="C7" s="2327"/>
      <c r="D7" s="2327"/>
      <c r="E7" s="2327"/>
      <c r="F7" s="2327"/>
      <c r="G7" s="2327"/>
      <c r="H7" s="2327"/>
      <c r="I7" s="2327"/>
      <c r="J7" s="2327"/>
      <c r="K7" s="2327"/>
      <c r="L7" s="2327"/>
      <c r="M7" s="2328"/>
    </row>
    <row r="8" spans="1:13" ht="12" customHeight="1" x14ac:dyDescent="0.25">
      <c r="A8" s="49"/>
      <c r="B8" s="49"/>
      <c r="C8" s="49"/>
      <c r="D8" s="49"/>
      <c r="E8" s="49"/>
      <c r="F8" s="48"/>
      <c r="G8" s="48"/>
      <c r="H8" s="48"/>
      <c r="I8" s="48"/>
      <c r="J8" s="48"/>
      <c r="K8" s="48"/>
      <c r="L8" s="48"/>
      <c r="M8" s="48"/>
    </row>
    <row r="9" spans="1:13" ht="18" customHeight="1" x14ac:dyDescent="0.25">
      <c r="A9" s="2331" t="s">
        <v>95</v>
      </c>
      <c r="B9" s="2331"/>
      <c r="C9" s="2331"/>
      <c r="D9" s="2331"/>
      <c r="E9" s="2331"/>
      <c r="F9" s="2331"/>
      <c r="G9" s="2331"/>
      <c r="H9" s="2331"/>
      <c r="I9" s="2331"/>
      <c r="J9" s="2331"/>
      <c r="K9" s="2331"/>
      <c r="L9" s="2331"/>
      <c r="M9" s="2331"/>
    </row>
    <row r="10" spans="1:13" ht="15.75" customHeight="1" x14ac:dyDescent="0.25">
      <c r="A10" s="48"/>
      <c r="B10" s="49"/>
      <c r="C10" s="49"/>
      <c r="D10" s="49"/>
      <c r="E10" s="49"/>
      <c r="F10" s="48"/>
      <c r="G10" s="48"/>
      <c r="H10" s="48"/>
      <c r="I10" s="48"/>
      <c r="J10" s="48"/>
      <c r="K10" s="48"/>
      <c r="L10" s="48"/>
      <c r="M10" s="48"/>
    </row>
    <row r="11" spans="1:13" ht="21" customHeight="1" x14ac:dyDescent="0.25">
      <c r="A11" s="48"/>
      <c r="B11" s="2329" t="s">
        <v>96</v>
      </c>
      <c r="C11" s="2330"/>
      <c r="D11" s="2330"/>
      <c r="E11" s="2330"/>
      <c r="F11" s="539" t="s">
        <v>75</v>
      </c>
      <c r="G11" s="539" t="s">
        <v>19</v>
      </c>
      <c r="H11" s="54" t="s">
        <v>151</v>
      </c>
      <c r="I11" s="48"/>
      <c r="J11" s="48"/>
      <c r="K11" s="48"/>
      <c r="L11" s="48"/>
      <c r="M11" s="48"/>
    </row>
    <row r="12" spans="1:13" ht="21" customHeight="1" x14ac:dyDescent="0.25">
      <c r="A12" s="48"/>
      <c r="B12" s="1742" t="s">
        <v>1019</v>
      </c>
      <c r="C12" s="1743"/>
      <c r="D12" s="1743"/>
      <c r="E12" s="1744"/>
      <c r="F12" s="320">
        <v>1</v>
      </c>
      <c r="G12" s="320">
        <f>C45</f>
        <v>0</v>
      </c>
      <c r="H12" s="320" t="str">
        <f>C46</f>
        <v>No</v>
      </c>
      <c r="I12" s="48"/>
      <c r="J12" s="48"/>
      <c r="K12" s="48"/>
      <c r="L12" s="48"/>
      <c r="M12" s="48"/>
    </row>
    <row r="13" spans="1:13" ht="18.75" customHeight="1" x14ac:dyDescent="0.25">
      <c r="A13" s="48"/>
      <c r="B13" s="49"/>
      <c r="C13" s="49"/>
      <c r="D13" s="49"/>
      <c r="E13" s="49"/>
      <c r="F13" s="48"/>
      <c r="G13" s="48"/>
      <c r="H13" s="48"/>
      <c r="I13" s="48"/>
      <c r="J13" s="48"/>
      <c r="K13" s="48"/>
      <c r="L13" s="48"/>
      <c r="M13" s="48"/>
    </row>
    <row r="14" spans="1:13" ht="18" customHeight="1" x14ac:dyDescent="0.25">
      <c r="A14" s="2331" t="s">
        <v>117</v>
      </c>
      <c r="B14" s="2331"/>
      <c r="C14" s="2331"/>
      <c r="D14" s="2331"/>
      <c r="E14" s="2331"/>
      <c r="F14" s="2331"/>
      <c r="G14" s="2331"/>
      <c r="H14" s="2331"/>
      <c r="I14" s="2331"/>
      <c r="J14" s="2331"/>
      <c r="K14" s="2331"/>
      <c r="L14" s="2331"/>
      <c r="M14" s="2331"/>
    </row>
    <row r="15" spans="1:13" x14ac:dyDescent="0.25">
      <c r="A15" s="48"/>
      <c r="B15" s="49"/>
      <c r="C15" s="49"/>
      <c r="D15" s="49"/>
      <c r="E15" s="49"/>
      <c r="F15" s="48"/>
      <c r="G15" s="48"/>
      <c r="H15" s="48"/>
      <c r="I15" s="48"/>
      <c r="J15" s="48"/>
      <c r="K15" s="48"/>
      <c r="L15" s="48"/>
      <c r="M15" s="48"/>
    </row>
    <row r="16" spans="1:13" x14ac:dyDescent="0.25">
      <c r="A16" s="48"/>
      <c r="B16" s="708" t="s">
        <v>1020</v>
      </c>
      <c r="C16" s="49"/>
      <c r="D16" s="49"/>
      <c r="E16" s="49"/>
      <c r="F16" s="48"/>
      <c r="G16" s="48"/>
      <c r="H16" s="48"/>
      <c r="I16" s="48"/>
      <c r="J16" s="48"/>
      <c r="K16" s="48"/>
      <c r="L16" s="48"/>
      <c r="M16" s="48"/>
    </row>
    <row r="17" spans="1:14" ht="12" customHeight="1" x14ac:dyDescent="0.25">
      <c r="A17" s="48"/>
      <c r="B17" s="121"/>
      <c r="C17" s="49"/>
      <c r="D17" s="49"/>
      <c r="E17" s="49"/>
      <c r="F17" s="48"/>
      <c r="G17" s="48"/>
      <c r="H17" s="48"/>
      <c r="I17" s="48"/>
      <c r="J17" s="48"/>
      <c r="K17" s="48"/>
      <c r="L17" s="48"/>
      <c r="M17" s="48"/>
    </row>
    <row r="18" spans="1:14" ht="13.5" customHeight="1" x14ac:dyDescent="0.25">
      <c r="A18" s="48"/>
      <c r="B18" s="121"/>
      <c r="C18" s="49"/>
      <c r="D18" s="49"/>
      <c r="E18" s="49"/>
      <c r="F18" s="48"/>
      <c r="G18" s="48"/>
      <c r="H18" s="48"/>
      <c r="I18" s="48"/>
      <c r="J18" s="48"/>
      <c r="K18" s="48"/>
      <c r="L18" s="48"/>
      <c r="M18" s="48"/>
    </row>
    <row r="19" spans="1:14" x14ac:dyDescent="0.25">
      <c r="A19" s="48"/>
      <c r="B19" s="671" t="s">
        <v>1431</v>
      </c>
      <c r="C19" s="49"/>
      <c r="D19" s="49"/>
      <c r="E19" s="49"/>
      <c r="F19" s="48"/>
      <c r="G19" s="48"/>
      <c r="H19" s="48"/>
      <c r="I19" s="48"/>
      <c r="J19" s="48"/>
      <c r="K19" s="48"/>
      <c r="L19" s="48"/>
      <c r="M19" s="48"/>
    </row>
    <row r="20" spans="1:14" ht="14.25" customHeight="1" x14ac:dyDescent="0.25">
      <c r="A20" s="48"/>
      <c r="B20" s="121"/>
      <c r="C20" s="49"/>
      <c r="D20" s="49"/>
      <c r="E20" s="49"/>
      <c r="F20" s="48"/>
      <c r="G20" s="48"/>
      <c r="H20" s="48"/>
      <c r="I20" s="48"/>
      <c r="J20" s="48"/>
      <c r="K20" s="48"/>
      <c r="L20" s="48"/>
      <c r="M20" s="48"/>
    </row>
    <row r="21" spans="1:14" ht="18" customHeight="1" x14ac:dyDescent="0.25">
      <c r="A21" s="48"/>
      <c r="B21" s="2339" t="s">
        <v>1346</v>
      </c>
      <c r="C21" s="2340"/>
      <c r="D21" s="2340"/>
      <c r="E21" s="2340"/>
      <c r="F21" s="814" t="s">
        <v>1345</v>
      </c>
      <c r="G21" s="814" t="s">
        <v>99</v>
      </c>
      <c r="H21" s="48"/>
      <c r="I21" s="48"/>
      <c r="J21" s="48"/>
      <c r="K21" s="48"/>
      <c r="L21" s="48"/>
      <c r="M21" s="48"/>
    </row>
    <row r="22" spans="1:14" ht="16.5" customHeight="1" x14ac:dyDescent="0.25">
      <c r="A22" s="48"/>
      <c r="B22" s="1620" t="s">
        <v>1432</v>
      </c>
      <c r="C22" s="1620"/>
      <c r="D22" s="1620"/>
      <c r="E22" s="1620"/>
      <c r="F22" s="396" t="s">
        <v>62</v>
      </c>
      <c r="G22" s="710" t="s">
        <v>62</v>
      </c>
      <c r="H22" s="48"/>
      <c r="I22" s="48"/>
      <c r="J22" s="48"/>
      <c r="K22" s="48"/>
      <c r="L22" s="48"/>
      <c r="M22" s="48"/>
      <c r="N22" s="37" t="str">
        <f>IF(F22="Access provided","Yes","No")</f>
        <v>No</v>
      </c>
    </row>
    <row r="23" spans="1:14" ht="16.5" customHeight="1" x14ac:dyDescent="0.25">
      <c r="A23" s="48"/>
      <c r="B23" s="1620" t="s">
        <v>1433</v>
      </c>
      <c r="C23" s="1620"/>
      <c r="D23" s="1620"/>
      <c r="E23" s="1620"/>
      <c r="F23" s="396" t="s">
        <v>62</v>
      </c>
      <c r="G23" s="1108" t="s">
        <v>62</v>
      </c>
      <c r="H23" s="48"/>
      <c r="I23" s="48"/>
      <c r="J23" s="48"/>
      <c r="K23" s="48"/>
      <c r="L23" s="48"/>
      <c r="M23" s="48"/>
      <c r="N23" s="37" t="str">
        <f t="shared" ref="N23:N27" si="0">IF(F23="Access provided","Yes","No")</f>
        <v>No</v>
      </c>
    </row>
    <row r="24" spans="1:14" ht="16.5" customHeight="1" x14ac:dyDescent="0.25">
      <c r="A24" s="48"/>
      <c r="B24" s="1620" t="s">
        <v>1434</v>
      </c>
      <c r="C24" s="1620"/>
      <c r="D24" s="1620"/>
      <c r="E24" s="1620"/>
      <c r="F24" s="396" t="s">
        <v>62</v>
      </c>
      <c r="G24" s="1108" t="s">
        <v>62</v>
      </c>
      <c r="H24" s="48"/>
      <c r="I24" s="48"/>
      <c r="J24" s="48"/>
      <c r="K24" s="48"/>
      <c r="L24" s="48"/>
      <c r="M24" s="48"/>
      <c r="N24" s="37" t="str">
        <f t="shared" si="0"/>
        <v>No</v>
      </c>
    </row>
    <row r="25" spans="1:14" ht="16.5" customHeight="1" x14ac:dyDescent="0.25">
      <c r="A25" s="48"/>
      <c r="B25" s="1620" t="s">
        <v>1435</v>
      </c>
      <c r="C25" s="1620"/>
      <c r="D25" s="1620"/>
      <c r="E25" s="1620"/>
      <c r="F25" s="396" t="s">
        <v>62</v>
      </c>
      <c r="G25" s="1108" t="s">
        <v>62</v>
      </c>
      <c r="H25" s="48"/>
      <c r="I25" s="48"/>
      <c r="J25" s="48"/>
      <c r="K25" s="48"/>
      <c r="L25" s="48"/>
      <c r="M25" s="48"/>
      <c r="N25" s="37" t="str">
        <f t="shared" si="0"/>
        <v>No</v>
      </c>
    </row>
    <row r="26" spans="1:14" ht="16.5" customHeight="1" x14ac:dyDescent="0.25">
      <c r="A26" s="48"/>
      <c r="B26" s="1620" t="s">
        <v>1436</v>
      </c>
      <c r="C26" s="1620"/>
      <c r="D26" s="1620"/>
      <c r="E26" s="1620"/>
      <c r="F26" s="396" t="s">
        <v>62</v>
      </c>
      <c r="G26" s="1108" t="s">
        <v>62</v>
      </c>
      <c r="H26" s="48"/>
      <c r="I26" s="48"/>
      <c r="J26" s="48"/>
      <c r="K26" s="48"/>
      <c r="L26" s="48"/>
      <c r="M26" s="48"/>
      <c r="N26" s="37" t="str">
        <f t="shared" si="0"/>
        <v>No</v>
      </c>
    </row>
    <row r="27" spans="1:14" ht="16.5" customHeight="1" x14ac:dyDescent="0.25">
      <c r="A27" s="48"/>
      <c r="B27" s="1620" t="s">
        <v>1437</v>
      </c>
      <c r="C27" s="1620"/>
      <c r="D27" s="1620"/>
      <c r="E27" s="1620"/>
      <c r="F27" s="396" t="s">
        <v>62</v>
      </c>
      <c r="G27" s="1108" t="s">
        <v>62</v>
      </c>
      <c r="H27" s="48"/>
      <c r="I27" s="48"/>
      <c r="J27" s="48"/>
      <c r="K27" s="48"/>
      <c r="L27" s="48"/>
      <c r="M27" s="48"/>
      <c r="N27" s="37" t="str">
        <f t="shared" si="0"/>
        <v>No</v>
      </c>
    </row>
    <row r="28" spans="1:14" ht="16.5" customHeight="1" x14ac:dyDescent="0.25">
      <c r="A28" s="48"/>
      <c r="B28" s="1620" t="s">
        <v>1438</v>
      </c>
      <c r="C28" s="1620"/>
      <c r="D28" s="1620"/>
      <c r="E28" s="1620"/>
      <c r="F28" s="396" t="s">
        <v>62</v>
      </c>
      <c r="G28" s="1108" t="s">
        <v>62</v>
      </c>
      <c r="H28" s="48"/>
      <c r="I28" s="401" t="s">
        <v>573</v>
      </c>
      <c r="J28" s="1648"/>
      <c r="K28" s="1648"/>
      <c r="L28" s="48"/>
      <c r="M28" s="48"/>
      <c r="N28" s="37" t="str">
        <f>IF(AND(J28&lt;&gt;"",F28="Access provided"),"Yes","No")</f>
        <v>No</v>
      </c>
    </row>
    <row r="29" spans="1:14" ht="16.5" customHeight="1" x14ac:dyDescent="0.25">
      <c r="A29" s="48"/>
      <c r="B29" s="1620" t="s">
        <v>1438</v>
      </c>
      <c r="C29" s="1620"/>
      <c r="D29" s="1620"/>
      <c r="E29" s="1620"/>
      <c r="F29" s="396" t="s">
        <v>62</v>
      </c>
      <c r="G29" s="1108" t="s">
        <v>62</v>
      </c>
      <c r="H29" s="48"/>
      <c r="I29" s="401" t="s">
        <v>573</v>
      </c>
      <c r="J29" s="1648"/>
      <c r="K29" s="1648"/>
      <c r="L29" s="48"/>
      <c r="M29" s="48"/>
      <c r="N29" s="37" t="str">
        <f>IF(AND(J29&lt;&gt;"",F29="Access provided"),"Yes","No")</f>
        <v>No</v>
      </c>
    </row>
    <row r="30" spans="1:14" x14ac:dyDescent="0.25">
      <c r="A30" s="48"/>
      <c r="B30" s="49"/>
      <c r="C30" s="49"/>
      <c r="D30" s="49"/>
      <c r="E30" s="49"/>
      <c r="F30" s="48"/>
      <c r="G30" s="48"/>
      <c r="H30" s="48"/>
      <c r="I30" s="48"/>
      <c r="J30" s="48"/>
      <c r="K30" s="48"/>
      <c r="L30" s="48"/>
      <c r="M30" s="48"/>
    </row>
    <row r="31" spans="1:14" ht="18" customHeight="1" x14ac:dyDescent="0.25">
      <c r="A31" s="48"/>
      <c r="B31" s="2346" t="s">
        <v>574</v>
      </c>
      <c r="C31" s="2346"/>
      <c r="D31" s="2346"/>
      <c r="E31" s="157" t="str">
        <f>IF(COUNTIF(N22:N29,"Yes")&gt;=3,"Yes","No")</f>
        <v>No</v>
      </c>
      <c r="F31" s="48"/>
      <c r="G31" s="48"/>
      <c r="H31" s="48"/>
      <c r="I31" s="48"/>
      <c r="J31" s="48"/>
      <c r="K31" s="48"/>
      <c r="L31" s="48"/>
      <c r="M31" s="48"/>
    </row>
    <row r="32" spans="1:14" ht="19.5" customHeight="1" x14ac:dyDescent="0.25">
      <c r="A32" s="48"/>
      <c r="B32" s="49"/>
      <c r="C32" s="49"/>
      <c r="D32" s="49"/>
      <c r="E32" s="49"/>
      <c r="F32" s="48"/>
      <c r="G32" s="48"/>
      <c r="H32" s="48"/>
      <c r="I32" s="48"/>
      <c r="J32" s="48"/>
      <c r="K32" s="48"/>
      <c r="L32" s="48"/>
      <c r="M32" s="48"/>
    </row>
    <row r="33" spans="1:14" ht="18" customHeight="1" x14ac:dyDescent="0.25">
      <c r="A33" s="2331" t="s">
        <v>97</v>
      </c>
      <c r="B33" s="2331"/>
      <c r="C33" s="2331"/>
      <c r="D33" s="2331"/>
      <c r="E33" s="2331"/>
      <c r="F33" s="2331"/>
      <c r="G33" s="2331"/>
      <c r="H33" s="2331"/>
      <c r="I33" s="2331"/>
      <c r="J33" s="2331"/>
      <c r="K33" s="2331"/>
      <c r="L33" s="2331"/>
      <c r="M33" s="2331"/>
      <c r="N33" s="49"/>
    </row>
    <row r="34" spans="1:14" ht="18" customHeight="1" x14ac:dyDescent="0.25">
      <c r="A34" s="48"/>
      <c r="B34" s="49"/>
      <c r="C34" s="49"/>
      <c r="D34" s="49"/>
      <c r="E34" s="48"/>
      <c r="F34" s="48"/>
      <c r="G34" s="48"/>
      <c r="H34" s="48"/>
      <c r="I34" s="48"/>
      <c r="J34" s="48"/>
      <c r="K34" s="48"/>
      <c r="L34" s="48"/>
      <c r="M34" s="48"/>
      <c r="N34" s="48"/>
    </row>
    <row r="35" spans="1:14" ht="21" customHeight="1" x14ac:dyDescent="0.25">
      <c r="A35" s="48"/>
      <c r="B35" s="2334" t="s">
        <v>2612</v>
      </c>
      <c r="C35" s="2335"/>
      <c r="D35" s="2335"/>
      <c r="E35" s="2335"/>
      <c r="F35" s="2335"/>
      <c r="G35" s="829" t="s">
        <v>1297</v>
      </c>
      <c r="H35" s="2336" t="s">
        <v>1298</v>
      </c>
      <c r="I35" s="2337"/>
      <c r="J35" s="48"/>
      <c r="K35" s="48"/>
      <c r="L35" s="48"/>
      <c r="M35" s="48"/>
      <c r="N35" s="48"/>
    </row>
    <row r="36" spans="1:14" ht="30" customHeight="1" x14ac:dyDescent="0.25">
      <c r="A36" s="48"/>
      <c r="B36" s="1906" t="str">
        <f>Submittals!H164</f>
        <v>Select the Submission Stage in Project Information</v>
      </c>
      <c r="C36" s="1907"/>
      <c r="D36" s="1907"/>
      <c r="E36" s="1907"/>
      <c r="F36" s="2205"/>
      <c r="G36" s="828" t="s">
        <v>62</v>
      </c>
      <c r="H36" s="1625"/>
      <c r="I36" s="1626"/>
      <c r="J36" s="48"/>
      <c r="K36" s="48"/>
      <c r="L36" s="48"/>
      <c r="M36" s="48"/>
      <c r="N36" s="37" t="str">
        <f>IF(COUNTIF(G$22:G$29,"Project space")=0,"Yes",IF(OR(B36="/",B36="No evidence required at this submission stage"),"Yes",IF(G36="Submitted","Yes","No")))</f>
        <v>Yes</v>
      </c>
    </row>
    <row r="37" spans="1:14" ht="30" customHeight="1" x14ac:dyDescent="0.25">
      <c r="A37" s="48"/>
      <c r="B37" s="1906" t="str">
        <f>Submittals!H165</f>
        <v>Select the Submission Stage in Project Information</v>
      </c>
      <c r="C37" s="1907"/>
      <c r="D37" s="1907"/>
      <c r="E37" s="1907"/>
      <c r="F37" s="2205"/>
      <c r="G37" s="1253" t="s">
        <v>2478</v>
      </c>
      <c r="H37" s="1625"/>
      <c r="I37" s="1626"/>
      <c r="J37" s="48"/>
      <c r="K37" s="48"/>
      <c r="L37" s="48"/>
      <c r="M37" s="48"/>
      <c r="N37" s="37" t="str">
        <f>IF(COUNTIF(G$22:G$29,"Project space")=0,"Yes",IF(OR(B37="/",B37="No evidence required at this submission stage"),"Yes",IF(OR(G37="Already approved at PC",G37="Submitted"),"Yes","No")))</f>
        <v>Yes</v>
      </c>
    </row>
    <row r="38" spans="1:14" ht="18" customHeight="1" x14ac:dyDescent="0.25">
      <c r="A38" s="48"/>
      <c r="B38" s="49"/>
      <c r="C38" s="49"/>
      <c r="D38" s="49"/>
      <c r="E38" s="49"/>
      <c r="F38" s="48"/>
      <c r="G38" s="48"/>
      <c r="H38" s="48"/>
      <c r="I38" s="48"/>
      <c r="J38" s="48"/>
      <c r="K38" s="48"/>
      <c r="L38" s="48"/>
      <c r="M38" s="48"/>
    </row>
    <row r="39" spans="1:14" ht="21" customHeight="1" x14ac:dyDescent="0.25">
      <c r="A39" s="48"/>
      <c r="B39" s="2334" t="s">
        <v>2613</v>
      </c>
      <c r="C39" s="2335"/>
      <c r="D39" s="2335"/>
      <c r="E39" s="2335"/>
      <c r="F39" s="2335"/>
      <c r="G39" s="1255" t="s">
        <v>1297</v>
      </c>
      <c r="H39" s="2336" t="s">
        <v>1298</v>
      </c>
      <c r="I39" s="2337"/>
      <c r="J39" s="48"/>
      <c r="K39" s="48"/>
      <c r="L39" s="48"/>
      <c r="M39" s="48"/>
      <c r="N39" s="48"/>
    </row>
    <row r="40" spans="1:14" ht="30" customHeight="1" x14ac:dyDescent="0.25">
      <c r="A40" s="48"/>
      <c r="B40" s="1906" t="str">
        <f>Submittals!H166</f>
        <v>Select the Submission Stage in Project Information</v>
      </c>
      <c r="C40" s="1907"/>
      <c r="D40" s="1907"/>
      <c r="E40" s="1907"/>
      <c r="F40" s="2205"/>
      <c r="G40" s="1254" t="s">
        <v>62</v>
      </c>
      <c r="H40" s="1625"/>
      <c r="I40" s="1626"/>
      <c r="J40" s="48"/>
      <c r="K40" s="48"/>
      <c r="L40" s="48"/>
      <c r="M40" s="48"/>
      <c r="N40" s="37" t="str">
        <f>IF(COUNTIF(G$22:G$29,"Base building")=0,"Yes",IF(OR(B40="/",B40="No evidence required at this submission stage"),"Yes",IF(G40="Submitted","Yes","No")))</f>
        <v>Yes</v>
      </c>
    </row>
    <row r="41" spans="1:14" ht="39" customHeight="1" x14ac:dyDescent="0.25">
      <c r="A41" s="48"/>
      <c r="B41" s="1906" t="str">
        <f>Submittals!H167</f>
        <v>Select the Submission Stage in Project Information</v>
      </c>
      <c r="C41" s="1907"/>
      <c r="D41" s="1907"/>
      <c r="E41" s="1907"/>
      <c r="F41" s="2205"/>
      <c r="G41" s="1253" t="s">
        <v>62</v>
      </c>
      <c r="H41" s="1625"/>
      <c r="I41" s="1626"/>
      <c r="J41" s="48"/>
      <c r="K41" s="48"/>
      <c r="L41" s="48"/>
      <c r="M41" s="48"/>
      <c r="N41" s="37" t="str">
        <f>IF(COUNTIF(G$22:G$29,"Base building")=0,"Yes",IF(OR(B41="/",B41="No evidence required at this submission stage"),"Yes",IF(OR(G41="Already approved at PC",G41="Submitted"),"Yes","No")))</f>
        <v>Yes</v>
      </c>
    </row>
    <row r="42" spans="1:14" ht="19.5" customHeight="1" x14ac:dyDescent="0.25">
      <c r="A42" s="48"/>
      <c r="B42" s="49"/>
      <c r="C42" s="49"/>
      <c r="D42" s="49"/>
      <c r="E42" s="49"/>
      <c r="F42" s="48"/>
      <c r="G42" s="48"/>
      <c r="H42" s="48"/>
      <c r="I42" s="48"/>
      <c r="J42" s="48"/>
      <c r="K42" s="48"/>
      <c r="L42" s="48"/>
      <c r="M42" s="48"/>
    </row>
    <row r="43" spans="1:14" ht="18" customHeight="1" x14ac:dyDescent="0.25">
      <c r="A43" s="2331" t="s">
        <v>8</v>
      </c>
      <c r="B43" s="2331"/>
      <c r="C43" s="2331"/>
      <c r="D43" s="2331"/>
      <c r="E43" s="2331"/>
      <c r="F43" s="2331"/>
      <c r="G43" s="2331"/>
      <c r="H43" s="2331"/>
      <c r="I43" s="2331"/>
      <c r="J43" s="2331"/>
      <c r="K43" s="2331"/>
      <c r="L43" s="2331"/>
      <c r="M43" s="2331"/>
    </row>
    <row r="44" spans="1:14" ht="16.5" customHeight="1" x14ac:dyDescent="0.25">
      <c r="A44" s="48"/>
      <c r="B44" s="49"/>
      <c r="C44" s="49"/>
      <c r="D44" s="49"/>
      <c r="E44" s="49"/>
      <c r="F44" s="48"/>
      <c r="G44" s="48"/>
      <c r="H44" s="48"/>
      <c r="I44" s="48"/>
      <c r="J44" s="48"/>
      <c r="K44" s="48"/>
      <c r="L44" s="48"/>
      <c r="M44" s="48"/>
    </row>
    <row r="45" spans="1:14" ht="18" customHeight="1" x14ac:dyDescent="0.25">
      <c r="A45" s="48"/>
      <c r="B45" s="144" t="s">
        <v>19</v>
      </c>
      <c r="C45" s="8">
        <f>IF(E31="Yes",1,0)</f>
        <v>0</v>
      </c>
      <c r="D45" s="49"/>
      <c r="E45" s="49"/>
      <c r="F45" s="48"/>
      <c r="G45" s="48"/>
      <c r="H45" s="48"/>
      <c r="I45" s="48"/>
      <c r="J45" s="48"/>
      <c r="K45" s="48"/>
      <c r="L45" s="48"/>
      <c r="M45" s="48"/>
    </row>
    <row r="46" spans="1:14" ht="18" customHeight="1" x14ac:dyDescent="0.25">
      <c r="A46" s="48"/>
      <c r="B46" s="147" t="s">
        <v>151</v>
      </c>
      <c r="C46" s="7" t="str">
        <f>IF(AND(COUNTIF(N36:N37,"Yes")=2,C45&gt;0),"Yes","No")</f>
        <v>No</v>
      </c>
      <c r="D46" s="48"/>
      <c r="E46" s="48"/>
      <c r="F46" s="48"/>
      <c r="G46" s="48"/>
      <c r="H46" s="48"/>
      <c r="I46" s="48"/>
      <c r="J46" s="48"/>
      <c r="K46" s="48"/>
      <c r="L46" s="48"/>
      <c r="M46" s="48"/>
    </row>
    <row r="47" spans="1:14" ht="20.25" customHeight="1" x14ac:dyDescent="0.25">
      <c r="A47" s="48"/>
      <c r="B47" s="49"/>
      <c r="C47" s="49"/>
      <c r="D47" s="49"/>
      <c r="E47" s="49"/>
      <c r="F47" s="48"/>
      <c r="G47" s="48"/>
      <c r="H47" s="48"/>
      <c r="I47" s="48"/>
      <c r="J47" s="48"/>
      <c r="K47" s="48"/>
      <c r="L47" s="48"/>
      <c r="M47" s="48"/>
    </row>
    <row r="48" spans="1:14" hidden="1" x14ac:dyDescent="0.25">
      <c r="A48" s="48"/>
      <c r="B48" s="49"/>
      <c r="C48" s="49"/>
      <c r="D48" s="49"/>
      <c r="E48" s="49"/>
      <c r="F48" s="48"/>
      <c r="G48" s="48"/>
      <c r="H48" s="48"/>
      <c r="I48" s="48"/>
      <c r="J48" s="48"/>
      <c r="K48" s="48"/>
      <c r="L48" s="48"/>
      <c r="M48" s="48"/>
    </row>
    <row r="49" spans="1:13" hidden="1" x14ac:dyDescent="0.25">
      <c r="A49" s="48"/>
      <c r="B49" s="49"/>
      <c r="C49" s="49"/>
      <c r="D49" s="49"/>
      <c r="E49" s="49"/>
      <c r="F49" s="48"/>
      <c r="G49" s="48"/>
      <c r="H49" s="48"/>
      <c r="I49" s="48"/>
      <c r="J49" s="48"/>
      <c r="K49" s="48"/>
      <c r="L49" s="48"/>
      <c r="M49" s="48"/>
    </row>
    <row r="50" spans="1:13" hidden="1" x14ac:dyDescent="0.25"/>
    <row r="51" spans="1:13" hidden="1" x14ac:dyDescent="0.25"/>
    <row r="52" spans="1:13" hidden="1" x14ac:dyDescent="0.25"/>
    <row r="53" spans="1:13" hidden="1" x14ac:dyDescent="0.25"/>
    <row r="54" spans="1:13" hidden="1" x14ac:dyDescent="0.25"/>
    <row r="55" spans="1:13" ht="15" hidden="1" customHeight="1" x14ac:dyDescent="0.25"/>
    <row r="56" spans="1:13" ht="15" hidden="1" customHeight="1" x14ac:dyDescent="0.25"/>
    <row r="57" spans="1:13" ht="15" hidden="1" customHeight="1" x14ac:dyDescent="0.25"/>
    <row r="58" spans="1:13" ht="15" hidden="1" customHeight="1" x14ac:dyDescent="0.25"/>
    <row r="59" spans="1:13" ht="15" hidden="1" customHeight="1" x14ac:dyDescent="0.25"/>
    <row r="60" spans="1:13" ht="15" hidden="1" customHeight="1" x14ac:dyDescent="0.25"/>
    <row r="61" spans="1:13" ht="15" hidden="1" customHeight="1" x14ac:dyDescent="0.25"/>
    <row r="62" spans="1:13" ht="15" hidden="1" customHeight="1" x14ac:dyDescent="0.25"/>
    <row r="63" spans="1:13" ht="15" hidden="1" customHeight="1" x14ac:dyDescent="0.25"/>
    <row r="64" spans="1:13"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sheetData>
  <sheetProtection algorithmName="SHA-512" hashValue="Jf54xp9O1ZT6o6zE/qHFG4eT7ce+IZ2hMzGJZgiZEBiklOYMOkWVN6pRALvNfKi537Lcvp3+QiIanFcWE6RP7A==" saltValue="o8d3QPE3e7lyd230xCroaA==" spinCount="100000" sheet="1" objects="1" scenarios="1"/>
  <dataConsolidate/>
  <mergeCells count="33">
    <mergeCell ref="A14:M14"/>
    <mergeCell ref="A9:M9"/>
    <mergeCell ref="B25:E25"/>
    <mergeCell ref="B26:E26"/>
    <mergeCell ref="B27:E27"/>
    <mergeCell ref="B21:E21"/>
    <mergeCell ref="I2:L4"/>
    <mergeCell ref="A5:M7"/>
    <mergeCell ref="B11:E11"/>
    <mergeCell ref="B12:E12"/>
    <mergeCell ref="A1:M1"/>
    <mergeCell ref="A43:M43"/>
    <mergeCell ref="B22:E22"/>
    <mergeCell ref="B23:E23"/>
    <mergeCell ref="B24:E24"/>
    <mergeCell ref="B35:F35"/>
    <mergeCell ref="B36:F36"/>
    <mergeCell ref="B37:F37"/>
    <mergeCell ref="A33:M33"/>
    <mergeCell ref="J28:K28"/>
    <mergeCell ref="B29:E29"/>
    <mergeCell ref="J29:K29"/>
    <mergeCell ref="B31:D31"/>
    <mergeCell ref="B28:E28"/>
    <mergeCell ref="H35:I35"/>
    <mergeCell ref="H36:I36"/>
    <mergeCell ref="H37:I37"/>
    <mergeCell ref="B41:F41"/>
    <mergeCell ref="H41:I41"/>
    <mergeCell ref="B39:F39"/>
    <mergeCell ref="H39:I39"/>
    <mergeCell ref="B40:F40"/>
    <mergeCell ref="H40:I40"/>
  </mergeCells>
  <conditionalFormatting sqref="G36:I36 H37:I37">
    <cfRule type="expression" dxfId="102" priority="7">
      <formula>$B36="/"</formula>
    </cfRule>
    <cfRule type="expression" dxfId="101" priority="8">
      <formula>$B36="No evidence required at this submission stage"</formula>
    </cfRule>
  </conditionalFormatting>
  <conditionalFormatting sqref="G40:I40 H41:I41">
    <cfRule type="expression" dxfId="100" priority="5">
      <formula>$B40="/"</formula>
    </cfRule>
    <cfRule type="expression" dxfId="99" priority="6">
      <formula>$B40="No evidence required at this submission stage"</formula>
    </cfRule>
  </conditionalFormatting>
  <conditionalFormatting sqref="G37">
    <cfRule type="expression" dxfId="98" priority="3">
      <formula>$B37="/"</formula>
    </cfRule>
    <cfRule type="expression" dxfId="97" priority="4">
      <formula>$B37="No evidence required at this submission stage"</formula>
    </cfRule>
  </conditionalFormatting>
  <conditionalFormatting sqref="G41">
    <cfRule type="expression" dxfId="96" priority="1">
      <formula>$B41="/"</formula>
    </cfRule>
    <cfRule type="expression" dxfId="95" priority="2">
      <formula>$B41="No evidence required at this submission stage"</formula>
    </cfRule>
  </conditionalFormatting>
  <dataValidations count="4">
    <dataValidation type="list" allowBlank="1" showInputMessage="1" showErrorMessage="1" sqref="F22:F29">
      <formula1>"Select,Access provided,No access"</formula1>
    </dataValidation>
    <dataValidation type="list" allowBlank="1" showInputMessage="1" showErrorMessage="1" sqref="G36 G40">
      <formula1>"Select,Submitted,Not submitted"</formula1>
    </dataValidation>
    <dataValidation type="list" allowBlank="1" showInputMessage="1" showErrorMessage="1" sqref="G22:G29">
      <formula1>"Select,Project space, Base building"</formula1>
    </dataValidation>
    <dataValidation type="list" allowBlank="1" showInputMessage="1" showErrorMessage="1" sqref="G37 G41">
      <formula1>Sub_FC</formula1>
    </dataValidation>
  </dataValidations>
  <hyperlinks>
    <hyperlink ref="M2" location="'LT-1 Base building '!B3" tooltip="LT-1" display="LT-1"/>
    <hyperlink ref="M3" location="'LT-2 Tenancy lease'!B3" tooltip="LT-2" display="LT-2"/>
    <hyperlink ref="M4" location="'LT-3 Green Transportation '!B3" tooltip="LT-3" display="LT-3"/>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84806"/>
  </sheetPr>
  <dimension ref="A1:M55"/>
  <sheetViews>
    <sheetView showRowColHeaders="0" zoomScale="90" zoomScaleNormal="90" workbookViewId="0">
      <selection activeCell="E10" sqref="E10:F10"/>
    </sheetView>
  </sheetViews>
  <sheetFormatPr defaultColWidth="0" defaultRowHeight="0" customHeight="1" zeroHeight="1" x14ac:dyDescent="0.25"/>
  <cols>
    <col min="1" max="1" width="5.7109375" customWidth="1"/>
    <col min="2" max="2" width="33.42578125" customWidth="1"/>
    <col min="3" max="3" width="3.7109375" customWidth="1"/>
    <col min="4" max="4" width="11.140625" customWidth="1"/>
    <col min="5" max="5" width="20.5703125" customWidth="1"/>
    <col min="6" max="6" width="22.5703125" customWidth="1"/>
    <col min="7" max="8" width="19.7109375" customWidth="1"/>
    <col min="9" max="9" width="10" customWidth="1"/>
    <col min="10" max="10" width="8" customWidth="1"/>
    <col min="11" max="11" width="5.42578125" customWidth="1"/>
    <col min="12" max="12" width="3.28515625" customWidth="1"/>
    <col min="13" max="16384" width="9.140625" hidden="1"/>
  </cols>
  <sheetData>
    <row r="1" spans="1:13" ht="24.75" customHeight="1" x14ac:dyDescent="0.25">
      <c r="A1" s="183"/>
      <c r="B1" s="2371" t="s">
        <v>238</v>
      </c>
      <c r="C1" s="184"/>
      <c r="D1" s="193"/>
      <c r="E1" s="194"/>
      <c r="F1" s="194"/>
      <c r="G1" s="194"/>
      <c r="H1" s="194"/>
      <c r="I1" s="194"/>
      <c r="J1" s="194"/>
      <c r="K1" s="194"/>
      <c r="L1" s="195"/>
      <c r="M1" s="194"/>
    </row>
    <row r="2" spans="1:13" ht="24.75" customHeight="1" x14ac:dyDescent="0.25">
      <c r="A2" s="185"/>
      <c r="B2" s="2372"/>
      <c r="C2" s="186"/>
      <c r="D2" s="196"/>
      <c r="E2" s="197"/>
      <c r="F2" s="197"/>
      <c r="G2" s="197"/>
      <c r="H2" s="197"/>
      <c r="I2" s="197"/>
      <c r="J2" s="197"/>
      <c r="K2" s="197"/>
      <c r="L2" s="198"/>
      <c r="M2" s="197"/>
    </row>
    <row r="3" spans="1:13" ht="24.75" customHeight="1" x14ac:dyDescent="0.25">
      <c r="A3" s="185"/>
      <c r="B3" s="2372"/>
      <c r="C3" s="186"/>
      <c r="D3" s="196"/>
      <c r="E3" s="197"/>
      <c r="F3" s="197"/>
      <c r="G3" s="197"/>
      <c r="H3" s="197"/>
      <c r="I3" s="197"/>
      <c r="J3" s="197"/>
      <c r="K3" s="197"/>
      <c r="L3" s="198"/>
      <c r="M3" s="197"/>
    </row>
    <row r="4" spans="1:13" ht="15" customHeight="1" x14ac:dyDescent="0.25">
      <c r="A4" s="185"/>
      <c r="B4" s="187"/>
      <c r="C4" s="188"/>
      <c r="D4" s="196"/>
      <c r="E4" s="2373" t="s">
        <v>136</v>
      </c>
      <c r="F4" s="2374"/>
      <c r="G4" s="2377" t="s">
        <v>137</v>
      </c>
      <c r="H4" s="2377" t="s">
        <v>19</v>
      </c>
      <c r="I4" s="197"/>
      <c r="J4" s="197"/>
      <c r="K4" s="197"/>
      <c r="L4" s="198"/>
      <c r="M4" s="197"/>
    </row>
    <row r="5" spans="1:13" ht="15" customHeight="1" x14ac:dyDescent="0.25">
      <c r="A5" s="185"/>
      <c r="B5" s="2380" t="str">
        <f>IF(A1="","To ensure that, throughout the project, all targets set up for the various stages (design, construction and operation) are competently and effectively managed","Nhằm đảm bảo rằng, các mục tiêu đặt ra trong từng bước của quá trình xây dựng (thiết kế, xây dựng, vận hành thử nghiệm và vận hành chính thức) được quản lý đẩy đủ và hiệu quả.")</f>
        <v>To ensure that, throughout the project, all targets set up for the various stages (design, construction and operation) are competently and effectively managed</v>
      </c>
      <c r="C5" s="189"/>
      <c r="D5" s="196"/>
      <c r="E5" s="2375"/>
      <c r="F5" s="2376"/>
      <c r="G5" s="2377"/>
      <c r="H5" s="2377"/>
      <c r="I5" s="197"/>
      <c r="J5" s="197"/>
      <c r="K5" s="197"/>
      <c r="L5" s="198"/>
      <c r="M5" s="197"/>
    </row>
    <row r="6" spans="1:13" ht="22.5" customHeight="1" x14ac:dyDescent="0.25">
      <c r="A6" s="185"/>
      <c r="B6" s="2380"/>
      <c r="C6" s="189"/>
      <c r="D6" s="196"/>
      <c r="E6" s="2378" t="s">
        <v>342</v>
      </c>
      <c r="F6" s="2379"/>
      <c r="G6" s="104">
        <v>1</v>
      </c>
      <c r="H6" s="104">
        <f>'Man-1 LOTUS AP'!G12</f>
        <v>0</v>
      </c>
      <c r="I6" s="197"/>
      <c r="J6" s="197"/>
      <c r="K6" s="197"/>
      <c r="L6" s="198"/>
      <c r="M6" s="197"/>
    </row>
    <row r="7" spans="1:13" ht="22.5" customHeight="1" x14ac:dyDescent="0.25">
      <c r="A7" s="185"/>
      <c r="B7" s="2380"/>
      <c r="C7" s="189"/>
      <c r="D7" s="196"/>
      <c r="E7" s="2378" t="s">
        <v>445</v>
      </c>
      <c r="F7" s="2379"/>
      <c r="G7" s="104">
        <v>2</v>
      </c>
      <c r="H7" s="104">
        <f>'Man-2 Construction Stage'!G16</f>
        <v>0</v>
      </c>
      <c r="I7" s="197"/>
      <c r="J7" s="197"/>
      <c r="K7" s="197"/>
      <c r="L7" s="198"/>
      <c r="M7" s="197"/>
    </row>
    <row r="8" spans="1:13" ht="22.5" customHeight="1" x14ac:dyDescent="0.25">
      <c r="A8" s="185"/>
      <c r="B8" s="2380"/>
      <c r="C8" s="189"/>
      <c r="D8" s="196"/>
      <c r="E8" s="2378" t="s">
        <v>446</v>
      </c>
      <c r="F8" s="2379"/>
      <c r="G8" s="104">
        <v>2</v>
      </c>
      <c r="H8" s="104">
        <f>'Man-3 Commissioning'!G14</f>
        <v>0</v>
      </c>
      <c r="I8" s="197"/>
      <c r="J8" s="197"/>
      <c r="K8" s="197"/>
      <c r="L8" s="198"/>
      <c r="M8" s="197"/>
    </row>
    <row r="9" spans="1:13" ht="22.5" customHeight="1" x14ac:dyDescent="0.25">
      <c r="A9" s="185"/>
      <c r="B9" s="2380"/>
      <c r="C9" s="189"/>
      <c r="D9" s="196"/>
      <c r="E9" s="2378" t="s">
        <v>448</v>
      </c>
      <c r="F9" s="2379"/>
      <c r="G9" s="104">
        <v>2</v>
      </c>
      <c r="H9" s="104">
        <f>'Man-4 Maintenance'!G14</f>
        <v>0</v>
      </c>
      <c r="I9" s="197"/>
      <c r="J9" s="197"/>
      <c r="K9" s="197"/>
      <c r="L9" s="198"/>
      <c r="M9" s="197"/>
    </row>
    <row r="10" spans="1:13" ht="22.5" customHeight="1" x14ac:dyDescent="0.25">
      <c r="A10" s="190"/>
      <c r="B10" s="2380"/>
      <c r="C10" s="189"/>
      <c r="D10" s="196"/>
      <c r="E10" s="2378" t="s">
        <v>447</v>
      </c>
      <c r="F10" s="2379"/>
      <c r="G10" s="104">
        <v>2</v>
      </c>
      <c r="H10" s="104">
        <f>'Man-5 Green Awareness '!G15</f>
        <v>0</v>
      </c>
      <c r="I10" s="197"/>
      <c r="J10" s="197"/>
      <c r="K10" s="197"/>
      <c r="L10" s="198"/>
      <c r="M10" s="197"/>
    </row>
    <row r="11" spans="1:13" ht="26.25" customHeight="1" x14ac:dyDescent="0.25">
      <c r="A11" s="190"/>
      <c r="B11" s="2380"/>
      <c r="C11" s="189"/>
      <c r="D11" s="196"/>
      <c r="E11" s="97" t="s">
        <v>29</v>
      </c>
      <c r="F11" s="95"/>
      <c r="G11" s="96">
        <f>SUM(G6:G10)</f>
        <v>9</v>
      </c>
      <c r="H11" s="96">
        <f t="shared" ref="H11" si="0">SUM(H6:H10)</f>
        <v>0</v>
      </c>
      <c r="I11" s="197"/>
      <c r="J11" s="197"/>
      <c r="K11" s="197"/>
      <c r="L11" s="198"/>
      <c r="M11" s="197"/>
    </row>
    <row r="12" spans="1:13" ht="15" customHeight="1" x14ac:dyDescent="0.25">
      <c r="A12" s="190"/>
      <c r="B12" s="202"/>
      <c r="C12" s="189"/>
      <c r="D12" s="196"/>
      <c r="E12" s="197"/>
      <c r="F12" s="197"/>
      <c r="G12" s="197"/>
      <c r="H12" s="197"/>
      <c r="I12" s="197"/>
      <c r="J12" s="197"/>
      <c r="K12" s="197"/>
      <c r="L12" s="198"/>
      <c r="M12" s="197"/>
    </row>
    <row r="13" spans="1:13" ht="15" customHeight="1" x14ac:dyDescent="0.25">
      <c r="A13" s="190"/>
      <c r="B13" s="202"/>
      <c r="C13" s="189"/>
      <c r="D13" s="196"/>
      <c r="E13" s="197"/>
      <c r="F13" s="197"/>
      <c r="G13" s="197"/>
      <c r="H13" s="197"/>
      <c r="I13" s="197"/>
      <c r="J13" s="197"/>
      <c r="K13" s="197"/>
      <c r="L13" s="198"/>
      <c r="M13" s="197"/>
    </row>
    <row r="14" spans="1:13" ht="15" customHeight="1" x14ac:dyDescent="0.25">
      <c r="A14" s="191"/>
      <c r="B14" s="203"/>
      <c r="C14" s="192"/>
      <c r="D14" s="199"/>
      <c r="E14" s="200"/>
      <c r="F14" s="200"/>
      <c r="G14" s="200"/>
      <c r="H14" s="200"/>
      <c r="I14" s="200"/>
      <c r="J14" s="200"/>
      <c r="K14" s="200"/>
      <c r="L14" s="201"/>
      <c r="M14" s="200"/>
    </row>
    <row r="15" spans="1:13" ht="15" hidden="1" customHeight="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sheetData>
  <sheetProtection algorithmName="SHA-512" hashValue="zfFQ2PbmbY9UvyDPzM3yutmsjjAUtcokwPxA/shISPKwD9AHjq0nAb/PJ0gZ3nLOoUOEaBQzJcKYMzL7ET2yZg==" saltValue="CKXd+XYOMpIiQaaqyn41ew==" spinCount="100000" sheet="1" objects="1" scenarios="1"/>
  <mergeCells count="10">
    <mergeCell ref="B1:B3"/>
    <mergeCell ref="E4:F5"/>
    <mergeCell ref="G4:G5"/>
    <mergeCell ref="H4:H5"/>
    <mergeCell ref="E10:F10"/>
    <mergeCell ref="E6:F6"/>
    <mergeCell ref="E7:F7"/>
    <mergeCell ref="E8:F8"/>
    <mergeCell ref="B5:B11"/>
    <mergeCell ref="E9:F9"/>
  </mergeCells>
  <hyperlinks>
    <hyperlink ref="E6" location="'CM-1 Design Stage'!A1" tooltip="CM-1 Design Stage" display="CM-1 Design Stage"/>
    <hyperlink ref="E7" location="'CM-2 Construction Management'!A1" tooltip="CM-2 Construction Management" display="CM-2 Construction Management"/>
    <hyperlink ref="E8" location="'CM-3 Operational Management'!A1" tooltip="CM-3 Operational Management" display="CM-3 Operational Management"/>
    <hyperlink ref="E10:F10" location="'Man-5 Green Awareness '!B3" tooltip="Man-5 Green Awareness and Behaviour" display="Man-5 Green Awareness and Behaviour"/>
    <hyperlink ref="E9" location="'CM-3 Operational Management'!A1" tooltip="CM-3 Operational Management" display="CM-3 Operational Management"/>
    <hyperlink ref="E6:F6" location="'Man-1 LOTUS AP'!B3" tooltip="Man-1 LOTUS AP" display="Man-1 LOTUS AP"/>
    <hyperlink ref="E7:F7" location="'Man-2 Construction Stage'!B3" tooltip="Man-2 Construction Stage" display="Man-2 Construction Stage"/>
    <hyperlink ref="E9:F9" location="'Man-4 Maintenance'!B3" tooltip="Man-4 Maintenance" display="Man-4 Maintenance"/>
    <hyperlink ref="E8:F8" location="'Man-3 Commissioning'!B3" tooltip="Man-3 Commissioning" display="Man-3 Commissioning"/>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33"/>
  <sheetViews>
    <sheetView showRowColHeaders="0" zoomScaleNormal="100" workbookViewId="0">
      <pane ySplit="5" topLeftCell="A6" activePane="bottomLeft" state="frozen"/>
      <selection activeCell="E12" sqref="E12:F12"/>
      <selection pane="bottomLeft" activeCell="N4" sqref="N4"/>
    </sheetView>
  </sheetViews>
  <sheetFormatPr defaultColWidth="0" defaultRowHeight="15" zeroHeight="1" x14ac:dyDescent="0.25"/>
  <cols>
    <col min="1" max="1" width="4.5703125" style="168" customWidth="1"/>
    <col min="2" max="4" width="10.7109375" style="168" customWidth="1"/>
    <col min="5" max="5" width="11.7109375" style="168" customWidth="1"/>
    <col min="6" max="6" width="13.85546875" style="168" customWidth="1"/>
    <col min="7" max="9" width="10.7109375" style="168" customWidth="1"/>
    <col min="10" max="10" width="15.28515625" style="168" customWidth="1"/>
    <col min="11" max="11" width="13" style="168" customWidth="1"/>
    <col min="12" max="12" width="13.140625" style="168" customWidth="1"/>
    <col min="13" max="14" width="13.5703125" style="168" customWidth="1"/>
    <col min="15" max="15" width="11.7109375" style="168" customWidth="1"/>
    <col min="16" max="16" width="0" style="168" hidden="1" customWidth="1"/>
    <col min="17" max="16384" width="9.140625" style="168" hidden="1"/>
  </cols>
  <sheetData>
    <row r="1" spans="1:16" ht="30" customHeight="1" x14ac:dyDescent="0.25">
      <c r="A1" s="1386" t="s">
        <v>288</v>
      </c>
      <c r="B1" s="1387"/>
      <c r="C1" s="1387"/>
      <c r="D1" s="1387"/>
      <c r="E1" s="1387"/>
      <c r="F1" s="1387"/>
      <c r="G1" s="1387"/>
      <c r="H1" s="1387"/>
      <c r="I1" s="1387"/>
      <c r="J1" s="1399" t="s">
        <v>727</v>
      </c>
      <c r="K1" s="1399"/>
      <c r="L1" s="1399"/>
      <c r="M1" s="1399"/>
      <c r="N1" s="1399"/>
      <c r="O1" s="1399"/>
      <c r="P1" s="167"/>
    </row>
    <row r="2" spans="1:16" ht="18" customHeight="1" x14ac:dyDescent="0.3">
      <c r="A2" s="736"/>
      <c r="B2" s="1385" t="s">
        <v>144</v>
      </c>
      <c r="C2" s="1385"/>
      <c r="D2" s="1385"/>
      <c r="E2" s="1385"/>
      <c r="F2" s="736"/>
      <c r="G2" s="736"/>
      <c r="H2" s="736"/>
      <c r="I2" s="736"/>
      <c r="J2" s="1384"/>
      <c r="K2" s="1384"/>
      <c r="L2" s="737"/>
      <c r="M2" s="737"/>
      <c r="N2" s="737"/>
      <c r="O2" s="736"/>
      <c r="P2" s="167"/>
    </row>
    <row r="3" spans="1:16" s="735" customFormat="1" ht="18" customHeight="1" x14ac:dyDescent="0.3">
      <c r="A3" s="736"/>
      <c r="B3" s="1385" t="s">
        <v>291</v>
      </c>
      <c r="C3" s="1385"/>
      <c r="D3" s="1385"/>
      <c r="E3" s="1385"/>
      <c r="F3" s="736"/>
      <c r="G3" s="736"/>
      <c r="H3" s="736"/>
      <c r="I3" s="736"/>
      <c r="J3" s="1400"/>
      <c r="K3" s="1400"/>
      <c r="L3" s="737"/>
      <c r="M3" s="737"/>
      <c r="N3" s="737"/>
      <c r="O3" s="736"/>
      <c r="P3" s="734"/>
    </row>
    <row r="4" spans="1:16" s="735" customFormat="1" ht="18" customHeight="1" x14ac:dyDescent="0.3">
      <c r="A4" s="736"/>
      <c r="B4" s="1385" t="s">
        <v>724</v>
      </c>
      <c r="C4" s="1385"/>
      <c r="D4" s="1385"/>
      <c r="E4" s="1385"/>
      <c r="F4" s="736"/>
      <c r="G4" s="736"/>
      <c r="H4" s="736"/>
      <c r="I4" s="736"/>
      <c r="J4" s="1400"/>
      <c r="K4" s="1400"/>
      <c r="L4" s="736"/>
      <c r="M4" s="736"/>
      <c r="N4" s="736"/>
      <c r="O4" s="736"/>
      <c r="P4" s="734"/>
    </row>
    <row r="5" spans="1:16" s="735" customFormat="1" ht="9.75" customHeight="1" x14ac:dyDescent="0.25">
      <c r="A5" s="736"/>
      <c r="B5" s="736"/>
      <c r="C5" s="736"/>
      <c r="D5" s="736"/>
      <c r="E5" s="736"/>
      <c r="F5" s="736"/>
      <c r="G5" s="736"/>
      <c r="H5" s="736"/>
      <c r="I5" s="736"/>
      <c r="J5" s="736"/>
      <c r="K5" s="736"/>
      <c r="L5" s="736"/>
      <c r="M5" s="736"/>
      <c r="N5" s="736"/>
      <c r="O5" s="736"/>
      <c r="P5" s="734"/>
    </row>
    <row r="6" spans="1:16" ht="12" customHeight="1" x14ac:dyDescent="0.35">
      <c r="A6" s="476"/>
      <c r="B6" s="478"/>
      <c r="C6" s="479"/>
      <c r="D6" s="479"/>
      <c r="E6" s="479"/>
      <c r="F6" s="479"/>
      <c r="G6" s="476"/>
      <c r="H6" s="476"/>
      <c r="I6" s="476"/>
      <c r="J6" s="476"/>
      <c r="K6" s="476"/>
      <c r="L6" s="476"/>
      <c r="M6" s="476"/>
      <c r="N6" s="476"/>
      <c r="O6" s="476"/>
      <c r="P6" s="167"/>
    </row>
    <row r="7" spans="1:16" ht="21" x14ac:dyDescent="0.35">
      <c r="A7" s="476"/>
      <c r="B7" s="1398" t="s">
        <v>144</v>
      </c>
      <c r="C7" s="1398"/>
      <c r="D7" s="1398"/>
      <c r="E7" s="479"/>
      <c r="F7" s="479"/>
      <c r="G7" s="476"/>
      <c r="H7" s="476"/>
      <c r="I7" s="476"/>
      <c r="J7" s="476"/>
      <c r="K7" s="476"/>
      <c r="L7" s="476"/>
      <c r="M7" s="476"/>
      <c r="N7" s="476"/>
      <c r="O7" s="476"/>
      <c r="P7" s="167"/>
    </row>
    <row r="8" spans="1:16" ht="9" customHeight="1" x14ac:dyDescent="0.35">
      <c r="A8" s="476"/>
      <c r="B8" s="478"/>
      <c r="C8" s="479"/>
      <c r="D8" s="479"/>
      <c r="E8" s="479"/>
      <c r="F8" s="479"/>
      <c r="G8" s="476"/>
      <c r="H8" s="476"/>
      <c r="I8" s="476"/>
      <c r="J8" s="476"/>
      <c r="K8" s="476"/>
      <c r="L8" s="476"/>
      <c r="M8" s="476"/>
      <c r="N8" s="476"/>
      <c r="O8" s="476"/>
      <c r="P8" s="167"/>
    </row>
    <row r="9" spans="1:16" ht="16.5" customHeight="1" x14ac:dyDescent="0.3">
      <c r="A9" s="476"/>
      <c r="B9" s="480" t="s">
        <v>700</v>
      </c>
      <c r="C9" s="479"/>
      <c r="D9" s="479"/>
      <c r="E9" s="479"/>
      <c r="F9" s="479"/>
      <c r="G9" s="476"/>
      <c r="H9" s="476"/>
      <c r="I9" s="476"/>
      <c r="J9" s="476"/>
      <c r="K9" s="476"/>
      <c r="L9" s="476"/>
      <c r="M9" s="476"/>
      <c r="N9" s="476"/>
      <c r="O9" s="476"/>
      <c r="P9" s="167"/>
    </row>
    <row r="10" spans="1:16" ht="16.5" customHeight="1" x14ac:dyDescent="0.3">
      <c r="A10" s="476"/>
      <c r="B10" s="807" t="s">
        <v>703</v>
      </c>
      <c r="C10" s="479"/>
      <c r="D10" s="479"/>
      <c r="E10" s="479"/>
      <c r="F10" s="479"/>
      <c r="G10" s="476"/>
      <c r="H10" s="476"/>
      <c r="I10" s="476"/>
      <c r="J10" s="476"/>
      <c r="K10" s="476"/>
      <c r="L10" s="476"/>
      <c r="M10" s="476"/>
      <c r="N10" s="476"/>
      <c r="O10" s="476"/>
      <c r="P10" s="167"/>
    </row>
    <row r="11" spans="1:16" ht="16.5" customHeight="1" x14ac:dyDescent="0.3">
      <c r="A11" s="476"/>
      <c r="B11" s="807" t="s">
        <v>701</v>
      </c>
      <c r="C11" s="479"/>
      <c r="D11" s="479"/>
      <c r="E11" s="479"/>
      <c r="F11" s="479"/>
      <c r="G11" s="476"/>
      <c r="H11" s="476"/>
      <c r="I11" s="476"/>
      <c r="J11" s="476"/>
      <c r="K11" s="476"/>
      <c r="L11" s="476"/>
      <c r="M11" s="476"/>
      <c r="N11" s="476"/>
      <c r="O11" s="476"/>
      <c r="P11" s="167"/>
    </row>
    <row r="12" spans="1:16" ht="16.5" customHeight="1" x14ac:dyDescent="0.3">
      <c r="A12" s="476"/>
      <c r="B12" s="807" t="s">
        <v>702</v>
      </c>
      <c r="C12" s="479"/>
      <c r="D12" s="479"/>
      <c r="E12" s="479"/>
      <c r="F12" s="479"/>
      <c r="G12" s="476"/>
      <c r="H12" s="476"/>
      <c r="I12" s="476"/>
      <c r="J12" s="476"/>
      <c r="K12" s="476"/>
      <c r="L12" s="476"/>
      <c r="M12" s="476"/>
      <c r="N12" s="476"/>
      <c r="O12" s="476"/>
      <c r="P12" s="167"/>
    </row>
    <row r="13" spans="1:16" ht="16.5" customHeight="1" x14ac:dyDescent="0.3">
      <c r="A13" s="476"/>
      <c r="B13" s="807" t="s">
        <v>353</v>
      </c>
      <c r="C13" s="479"/>
      <c r="D13" s="479"/>
      <c r="E13" s="479"/>
      <c r="F13" s="479"/>
      <c r="G13" s="476"/>
      <c r="H13" s="476"/>
      <c r="I13" s="476"/>
      <c r="J13" s="476"/>
      <c r="K13" s="476"/>
      <c r="L13" s="476"/>
      <c r="M13" s="476"/>
      <c r="N13" s="476"/>
      <c r="O13" s="476"/>
      <c r="P13" s="167"/>
    </row>
    <row r="14" spans="1:16" ht="12" customHeight="1" x14ac:dyDescent="0.3">
      <c r="A14" s="476"/>
      <c r="B14" s="481"/>
      <c r="C14" s="479"/>
      <c r="D14" s="479"/>
      <c r="E14" s="479"/>
      <c r="F14" s="479"/>
      <c r="G14" s="476"/>
      <c r="H14" s="476"/>
      <c r="I14" s="476"/>
      <c r="J14" s="476"/>
      <c r="K14" s="476"/>
      <c r="L14" s="476"/>
      <c r="M14" s="476"/>
      <c r="N14" s="476"/>
      <c r="O14" s="476"/>
      <c r="P14" s="167"/>
    </row>
    <row r="15" spans="1:16" ht="21" x14ac:dyDescent="0.35">
      <c r="A15" s="476"/>
      <c r="B15" s="1398" t="s">
        <v>354</v>
      </c>
      <c r="C15" s="1398"/>
      <c r="D15" s="1398"/>
      <c r="E15" s="482"/>
      <c r="F15" s="482"/>
      <c r="G15" s="482"/>
      <c r="H15" s="482"/>
      <c r="I15" s="482"/>
      <c r="J15" s="482"/>
      <c r="K15" s="482"/>
      <c r="L15" s="476"/>
      <c r="M15" s="483"/>
      <c r="N15" s="483"/>
      <c r="O15" s="483"/>
      <c r="P15" s="167"/>
    </row>
    <row r="16" spans="1:16" ht="9" customHeight="1" x14ac:dyDescent="0.3">
      <c r="A16" s="476"/>
      <c r="B16" s="484"/>
      <c r="C16" s="482"/>
      <c r="D16" s="482"/>
      <c r="E16" s="482"/>
      <c r="F16" s="482"/>
      <c r="G16" s="482"/>
      <c r="H16" s="482"/>
      <c r="I16" s="482"/>
      <c r="J16" s="482"/>
      <c r="K16" s="482"/>
      <c r="L16" s="476"/>
      <c r="M16" s="483"/>
      <c r="N16" s="483"/>
      <c r="O16" s="483"/>
      <c r="P16" s="167"/>
    </row>
    <row r="17" spans="1:18" ht="15" customHeight="1" x14ac:dyDescent="0.25">
      <c r="A17" s="476"/>
      <c r="B17" s="1401" t="s">
        <v>699</v>
      </c>
      <c r="C17" s="1402"/>
      <c r="D17" s="1402"/>
      <c r="E17" s="1402"/>
      <c r="F17" s="1402"/>
      <c r="G17" s="1402"/>
      <c r="H17" s="1402"/>
      <c r="I17" s="1402"/>
      <c r="J17" s="1402"/>
      <c r="K17" s="1403"/>
      <c r="L17" s="476"/>
      <c r="M17" s="483"/>
      <c r="N17" s="483"/>
      <c r="O17" s="483"/>
      <c r="P17" s="167"/>
    </row>
    <row r="18" spans="1:18" ht="16.5" customHeight="1" x14ac:dyDescent="0.25">
      <c r="A18" s="476"/>
      <c r="B18" s="1404" t="s">
        <v>722</v>
      </c>
      <c r="C18" s="1405"/>
      <c r="D18" s="1405"/>
      <c r="E18" s="1405"/>
      <c r="F18" s="1405"/>
      <c r="G18" s="1405"/>
      <c r="H18" s="1405"/>
      <c r="I18" s="1405"/>
      <c r="J18" s="1405"/>
      <c r="K18" s="1406"/>
      <c r="L18" s="476"/>
      <c r="M18" s="476"/>
      <c r="N18" s="476"/>
      <c r="O18" s="476"/>
      <c r="P18" s="167"/>
    </row>
    <row r="19" spans="1:18" ht="16.5" customHeight="1" x14ac:dyDescent="0.25">
      <c r="A19" s="476"/>
      <c r="B19" s="1404" t="s">
        <v>289</v>
      </c>
      <c r="C19" s="1405"/>
      <c r="D19" s="1405"/>
      <c r="E19" s="1405"/>
      <c r="F19" s="1405"/>
      <c r="G19" s="1405"/>
      <c r="H19" s="1405"/>
      <c r="I19" s="1405"/>
      <c r="J19" s="1405"/>
      <c r="K19" s="1406"/>
      <c r="L19" s="476"/>
      <c r="M19" s="476"/>
      <c r="N19" s="476"/>
      <c r="O19" s="476"/>
      <c r="P19" s="167"/>
    </row>
    <row r="20" spans="1:18" ht="16.5" customHeight="1" x14ac:dyDescent="0.25">
      <c r="A20" s="476"/>
      <c r="B20" s="1404" t="s">
        <v>179</v>
      </c>
      <c r="C20" s="1405"/>
      <c r="D20" s="1405"/>
      <c r="E20" s="1405"/>
      <c r="F20" s="1405"/>
      <c r="G20" s="1405"/>
      <c r="H20" s="1405"/>
      <c r="I20" s="1405"/>
      <c r="J20" s="1405"/>
      <c r="K20" s="1406"/>
      <c r="L20" s="476"/>
      <c r="M20" s="476"/>
      <c r="N20" s="476"/>
      <c r="O20" s="476"/>
      <c r="P20" s="167"/>
    </row>
    <row r="21" spans="1:18" ht="16.5" customHeight="1" x14ac:dyDescent="0.25">
      <c r="A21" s="476"/>
      <c r="B21" s="1407" t="s">
        <v>940</v>
      </c>
      <c r="C21" s="1408"/>
      <c r="D21" s="1408"/>
      <c r="E21" s="1408"/>
      <c r="F21" s="1408"/>
      <c r="G21" s="1408"/>
      <c r="H21" s="1408"/>
      <c r="I21" s="1408"/>
      <c r="J21" s="1408"/>
      <c r="K21" s="1409"/>
      <c r="L21" s="476"/>
      <c r="M21" s="476"/>
      <c r="N21" s="476"/>
      <c r="O21" s="476"/>
      <c r="P21" s="167"/>
    </row>
    <row r="22" spans="1:18" ht="9" customHeight="1" x14ac:dyDescent="0.25">
      <c r="A22" s="476"/>
      <c r="B22" s="476"/>
      <c r="C22" s="550"/>
      <c r="D22" s="550"/>
      <c r="E22" s="550"/>
      <c r="F22" s="550"/>
      <c r="G22" s="550"/>
      <c r="H22" s="550"/>
      <c r="I22" s="550"/>
      <c r="J22" s="550"/>
      <c r="K22" s="550"/>
      <c r="L22" s="550"/>
      <c r="M22" s="476"/>
      <c r="N22" s="476"/>
      <c r="O22" s="476"/>
      <c r="P22" s="167"/>
    </row>
    <row r="23" spans="1:18" ht="16.5" customHeight="1" x14ac:dyDescent="0.25">
      <c r="A23" s="476"/>
      <c r="B23" s="563" t="s">
        <v>932</v>
      </c>
      <c r="C23" s="562"/>
      <c r="D23" s="550"/>
      <c r="E23" s="550"/>
      <c r="F23" s="550"/>
      <c r="G23" s="550"/>
      <c r="H23" s="550"/>
      <c r="I23" s="550"/>
      <c r="J23" s="550"/>
      <c r="K23" s="550"/>
      <c r="L23" s="476"/>
      <c r="M23" s="476"/>
      <c r="N23" s="476"/>
      <c r="O23" s="167"/>
    </row>
    <row r="24" spans="1:18" ht="16.5" customHeight="1" x14ac:dyDescent="0.25">
      <c r="A24" s="476"/>
      <c r="B24" s="1414" t="s">
        <v>929</v>
      </c>
      <c r="C24" s="1410"/>
      <c r="D24" s="1410" t="s">
        <v>233</v>
      </c>
      <c r="E24" s="1410"/>
      <c r="F24" s="1410" t="s">
        <v>930</v>
      </c>
      <c r="G24" s="1410" t="s">
        <v>930</v>
      </c>
      <c r="H24" s="1410" t="s">
        <v>525</v>
      </c>
      <c r="I24" s="1410" t="s">
        <v>930</v>
      </c>
      <c r="J24" s="1410" t="s">
        <v>931</v>
      </c>
      <c r="K24" s="1411"/>
      <c r="L24" s="550"/>
      <c r="M24" s="550"/>
      <c r="N24" s="550"/>
      <c r="O24" s="476"/>
      <c r="P24" s="476"/>
      <c r="Q24" s="476"/>
      <c r="R24" s="167"/>
    </row>
    <row r="25" spans="1:18" ht="42" customHeight="1" x14ac:dyDescent="0.25">
      <c r="A25" s="476"/>
      <c r="B25" s="1415"/>
      <c r="C25" s="1416"/>
      <c r="D25" s="1415"/>
      <c r="E25" s="1416"/>
      <c r="F25" s="1415"/>
      <c r="G25" s="1416"/>
      <c r="H25" s="1412"/>
      <c r="I25" s="1417"/>
      <c r="J25" s="1412"/>
      <c r="K25" s="1413"/>
      <c r="L25" s="550"/>
      <c r="M25" s="550"/>
      <c r="N25" s="550"/>
      <c r="O25" s="476"/>
      <c r="P25" s="476"/>
      <c r="Q25" s="476"/>
      <c r="R25" s="167"/>
    </row>
    <row r="26" spans="1:18" ht="9" customHeight="1" x14ac:dyDescent="0.25">
      <c r="A26" s="476"/>
      <c r="B26" s="550"/>
      <c r="C26" s="550"/>
      <c r="D26" s="550"/>
      <c r="E26" s="550"/>
      <c r="F26" s="550"/>
      <c r="G26" s="550"/>
      <c r="H26" s="550"/>
      <c r="I26" s="550"/>
      <c r="J26" s="550"/>
      <c r="K26" s="550"/>
      <c r="L26" s="550"/>
      <c r="M26" s="476"/>
      <c r="N26" s="476"/>
      <c r="O26" s="476"/>
      <c r="P26" s="167"/>
    </row>
    <row r="27" spans="1:18" ht="9" customHeight="1" x14ac:dyDescent="0.3">
      <c r="A27" s="476"/>
      <c r="B27" s="480"/>
      <c r="C27" s="479"/>
      <c r="D27" s="479"/>
      <c r="E27" s="479"/>
      <c r="F27" s="479"/>
      <c r="G27" s="476"/>
      <c r="H27" s="476"/>
      <c r="I27" s="476"/>
      <c r="J27" s="476"/>
      <c r="K27" s="476"/>
      <c r="L27" s="476"/>
      <c r="M27" s="476"/>
      <c r="N27" s="476"/>
      <c r="O27" s="476"/>
      <c r="P27" s="167"/>
    </row>
    <row r="28" spans="1:18" ht="9" customHeight="1" x14ac:dyDescent="0.3">
      <c r="A28" s="476"/>
      <c r="B28" s="480"/>
      <c r="C28" s="479"/>
      <c r="D28" s="479"/>
      <c r="E28" s="479"/>
      <c r="F28" s="479"/>
      <c r="G28" s="476"/>
      <c r="H28" s="476"/>
      <c r="I28" s="476"/>
      <c r="J28" s="476"/>
      <c r="K28" s="476"/>
      <c r="L28" s="476"/>
      <c r="M28" s="476"/>
      <c r="N28" s="476"/>
      <c r="O28" s="476"/>
      <c r="P28" s="167"/>
    </row>
    <row r="29" spans="1:18" ht="15" customHeight="1" x14ac:dyDescent="0.3">
      <c r="A29" s="476"/>
      <c r="B29" s="480"/>
      <c r="C29" s="479"/>
      <c r="D29" s="479"/>
      <c r="E29" s="479"/>
      <c r="F29" s="479"/>
      <c r="G29" s="476"/>
      <c r="H29" s="476"/>
      <c r="I29" s="476"/>
      <c r="J29" s="476"/>
      <c r="K29" s="476"/>
      <c r="L29" s="476"/>
      <c r="M29" s="476"/>
      <c r="N29" s="476"/>
      <c r="O29" s="476"/>
      <c r="P29" s="167"/>
    </row>
    <row r="30" spans="1:18" ht="15" customHeight="1" x14ac:dyDescent="0.3">
      <c r="A30" s="476"/>
      <c r="B30" s="480"/>
      <c r="C30" s="479"/>
      <c r="D30" s="479"/>
      <c r="E30" s="479"/>
      <c r="F30" s="479"/>
      <c r="G30" s="476"/>
      <c r="H30" s="476"/>
      <c r="I30" s="476"/>
      <c r="J30" s="476"/>
      <c r="K30" s="476"/>
      <c r="L30" s="476"/>
      <c r="M30" s="476"/>
      <c r="N30" s="476"/>
      <c r="O30" s="476"/>
      <c r="P30" s="167"/>
    </row>
    <row r="31" spans="1:18" ht="15" customHeight="1" x14ac:dyDescent="0.3">
      <c r="A31" s="476"/>
      <c r="B31" s="480"/>
      <c r="C31" s="479"/>
      <c r="D31" s="479"/>
      <c r="E31" s="479"/>
      <c r="F31" s="479"/>
      <c r="G31" s="476"/>
      <c r="H31" s="476"/>
      <c r="I31" s="476"/>
      <c r="J31" s="476"/>
      <c r="K31" s="476"/>
      <c r="L31" s="476"/>
      <c r="M31" s="476"/>
      <c r="N31" s="476"/>
      <c r="O31" s="476"/>
      <c r="P31" s="167"/>
    </row>
    <row r="32" spans="1:18" ht="15" customHeight="1" x14ac:dyDescent="0.3">
      <c r="A32" s="476"/>
      <c r="B32" s="480"/>
      <c r="C32" s="479"/>
      <c r="D32" s="479"/>
      <c r="E32" s="479"/>
      <c r="F32" s="479"/>
      <c r="G32" s="476"/>
      <c r="H32" s="476"/>
      <c r="I32" s="476"/>
      <c r="J32" s="476"/>
      <c r="K32" s="476"/>
      <c r="L32" s="476"/>
      <c r="M32" s="476"/>
      <c r="N32" s="476"/>
      <c r="O32" s="476"/>
      <c r="P32" s="167"/>
    </row>
    <row r="33" spans="1:16" ht="15" customHeight="1" x14ac:dyDescent="0.3">
      <c r="A33" s="476"/>
      <c r="B33" s="480"/>
      <c r="C33" s="479"/>
      <c r="D33" s="479"/>
      <c r="E33" s="479"/>
      <c r="F33" s="479"/>
      <c r="G33" s="476"/>
      <c r="H33" s="476"/>
      <c r="I33" s="476"/>
      <c r="J33" s="476"/>
      <c r="K33" s="476"/>
      <c r="L33" s="476"/>
      <c r="M33" s="476"/>
      <c r="N33" s="476"/>
      <c r="O33" s="476"/>
      <c r="P33" s="167"/>
    </row>
    <row r="34" spans="1:16" ht="15" customHeight="1" x14ac:dyDescent="0.3">
      <c r="A34" s="476"/>
      <c r="B34" s="480"/>
      <c r="C34" s="479"/>
      <c r="D34" s="479"/>
      <c r="E34" s="479"/>
      <c r="F34" s="479"/>
      <c r="G34" s="476"/>
      <c r="H34" s="476"/>
      <c r="I34" s="476"/>
      <c r="J34" s="476"/>
      <c r="K34" s="476"/>
      <c r="L34" s="476"/>
      <c r="M34" s="476"/>
      <c r="N34" s="476"/>
      <c r="O34" s="476"/>
      <c r="P34" s="167"/>
    </row>
    <row r="35" spans="1:16" ht="15" customHeight="1" x14ac:dyDescent="0.3">
      <c r="A35" s="476"/>
      <c r="B35" s="480"/>
      <c r="C35" s="479"/>
      <c r="D35" s="479"/>
      <c r="E35" s="479"/>
      <c r="F35" s="479"/>
      <c r="G35" s="476"/>
      <c r="H35" s="476"/>
      <c r="I35" s="476"/>
      <c r="J35" s="476"/>
      <c r="K35" s="476"/>
      <c r="L35" s="476"/>
      <c r="M35" s="476"/>
      <c r="N35" s="476"/>
      <c r="O35" s="476"/>
      <c r="P35" s="167"/>
    </row>
    <row r="36" spans="1:16" ht="15" customHeight="1" x14ac:dyDescent="0.3">
      <c r="A36" s="476"/>
      <c r="B36" s="480"/>
      <c r="C36" s="479"/>
      <c r="D36" s="479"/>
      <c r="E36" s="479"/>
      <c r="F36" s="479"/>
      <c r="G36" s="476"/>
      <c r="H36" s="476"/>
      <c r="I36" s="476"/>
      <c r="J36" s="476"/>
      <c r="K36" s="476"/>
      <c r="L36" s="476"/>
      <c r="M36" s="476"/>
      <c r="N36" s="476"/>
      <c r="O36" s="476"/>
      <c r="P36" s="167"/>
    </row>
    <row r="37" spans="1:16" ht="15" customHeight="1" x14ac:dyDescent="0.3">
      <c r="A37" s="476"/>
      <c r="B37" s="480"/>
      <c r="C37" s="479"/>
      <c r="D37" s="479"/>
      <c r="E37" s="479"/>
      <c r="F37" s="479"/>
      <c r="G37" s="476"/>
      <c r="H37" s="476"/>
      <c r="I37" s="476"/>
      <c r="J37" s="476"/>
      <c r="K37" s="476"/>
      <c r="L37" s="476"/>
      <c r="M37" s="476"/>
      <c r="N37" s="476"/>
      <c r="O37" s="476"/>
      <c r="P37" s="167"/>
    </row>
    <row r="38" spans="1:16" ht="15" customHeight="1" x14ac:dyDescent="0.3">
      <c r="A38" s="476"/>
      <c r="B38" s="480"/>
      <c r="C38" s="479"/>
      <c r="D38" s="479"/>
      <c r="E38" s="479"/>
      <c r="F38" s="479"/>
      <c r="G38" s="476"/>
      <c r="H38" s="476"/>
      <c r="I38" s="476"/>
      <c r="J38" s="476"/>
      <c r="K38" s="476"/>
      <c r="L38" s="476"/>
      <c r="M38" s="476"/>
      <c r="N38" s="476"/>
      <c r="O38" s="476"/>
      <c r="P38" s="167"/>
    </row>
    <row r="39" spans="1:16" ht="15" customHeight="1" x14ac:dyDescent="0.3">
      <c r="A39" s="476"/>
      <c r="B39" s="480"/>
      <c r="C39" s="479"/>
      <c r="D39" s="479"/>
      <c r="E39" s="479"/>
      <c r="F39" s="479"/>
      <c r="G39" s="476"/>
      <c r="H39" s="476"/>
      <c r="I39" s="476"/>
      <c r="J39" s="476"/>
      <c r="K39" s="476"/>
      <c r="L39" s="476"/>
      <c r="M39" s="476"/>
      <c r="N39" s="476"/>
      <c r="O39" s="476"/>
      <c r="P39" s="167"/>
    </row>
    <row r="40" spans="1:16" ht="15" customHeight="1" x14ac:dyDescent="0.3">
      <c r="A40" s="476"/>
      <c r="B40" s="480"/>
      <c r="C40" s="479"/>
      <c r="D40" s="479"/>
      <c r="E40" s="479"/>
      <c r="F40" s="479"/>
      <c r="G40" s="476"/>
      <c r="H40" s="476"/>
      <c r="I40" s="476"/>
      <c r="J40" s="476"/>
      <c r="K40" s="476"/>
      <c r="L40" s="476"/>
      <c r="M40" s="476"/>
      <c r="N40" s="476"/>
      <c r="O40" s="476"/>
      <c r="P40" s="167"/>
    </row>
    <row r="41" spans="1:16" ht="15" customHeight="1" x14ac:dyDescent="0.3">
      <c r="A41" s="476"/>
      <c r="B41" s="480"/>
      <c r="C41" s="479"/>
      <c r="D41" s="479"/>
      <c r="E41" s="479"/>
      <c r="F41" s="479"/>
      <c r="G41" s="476"/>
      <c r="H41" s="476"/>
      <c r="I41" s="476"/>
      <c r="J41" s="476"/>
      <c r="K41" s="476"/>
      <c r="L41" s="476"/>
      <c r="M41" s="476"/>
      <c r="N41" s="476"/>
      <c r="O41" s="476"/>
      <c r="P41" s="167"/>
    </row>
    <row r="42" spans="1:16" ht="15" customHeight="1" x14ac:dyDescent="0.3">
      <c r="A42" s="476"/>
      <c r="B42" s="480"/>
      <c r="C42" s="479"/>
      <c r="D42" s="479"/>
      <c r="E42" s="479"/>
      <c r="F42" s="479"/>
      <c r="G42" s="476"/>
      <c r="H42" s="476"/>
      <c r="I42" s="476"/>
      <c r="J42" s="476"/>
      <c r="K42" s="476"/>
      <c r="L42" s="476"/>
      <c r="M42" s="476"/>
      <c r="N42" s="476"/>
      <c r="O42" s="476"/>
      <c r="P42" s="167"/>
    </row>
    <row r="43" spans="1:16" ht="15" customHeight="1" x14ac:dyDescent="0.3">
      <c r="A43" s="476"/>
      <c r="B43" s="480"/>
      <c r="C43" s="479"/>
      <c r="D43" s="479"/>
      <c r="E43" s="479"/>
      <c r="F43" s="479"/>
      <c r="G43" s="476"/>
      <c r="H43" s="476"/>
      <c r="I43" s="476"/>
      <c r="J43" s="476"/>
      <c r="K43" s="476"/>
      <c r="L43" s="476"/>
      <c r="M43" s="476"/>
      <c r="N43" s="476"/>
      <c r="O43" s="476"/>
      <c r="P43" s="167"/>
    </row>
    <row r="44" spans="1:16" ht="15" customHeight="1" x14ac:dyDescent="0.3">
      <c r="A44" s="476"/>
      <c r="B44" s="480"/>
      <c r="C44" s="479"/>
      <c r="D44" s="479"/>
      <c r="E44" s="479"/>
      <c r="F44" s="479"/>
      <c r="G44" s="476"/>
      <c r="H44" s="476"/>
      <c r="I44" s="476"/>
      <c r="J44" s="476"/>
      <c r="K44" s="476"/>
      <c r="L44" s="476"/>
      <c r="M44" s="476"/>
      <c r="N44" s="476"/>
      <c r="O44" s="476"/>
      <c r="P44" s="167"/>
    </row>
    <row r="45" spans="1:16" ht="15" customHeight="1" x14ac:dyDescent="0.3">
      <c r="A45" s="476"/>
      <c r="B45" s="480"/>
      <c r="C45" s="479"/>
      <c r="D45" s="479"/>
      <c r="E45" s="479"/>
      <c r="F45" s="479"/>
      <c r="G45" s="476"/>
      <c r="H45" s="476"/>
      <c r="I45" s="476"/>
      <c r="J45" s="476"/>
      <c r="K45" s="476"/>
      <c r="L45" s="476"/>
      <c r="M45" s="476"/>
      <c r="N45" s="476"/>
      <c r="O45" s="476"/>
      <c r="P45" s="167"/>
    </row>
    <row r="46" spans="1:16" ht="15" customHeight="1" x14ac:dyDescent="0.3">
      <c r="A46" s="476"/>
      <c r="B46" s="480"/>
      <c r="C46" s="479"/>
      <c r="D46" s="479"/>
      <c r="E46" s="479"/>
      <c r="F46" s="479"/>
      <c r="G46" s="476"/>
      <c r="H46" s="476"/>
      <c r="I46" s="476"/>
      <c r="J46" s="476"/>
      <c r="K46" s="476"/>
      <c r="L46" s="476"/>
      <c r="M46" s="476"/>
      <c r="N46" s="476"/>
      <c r="O46" s="476"/>
      <c r="P46" s="167"/>
    </row>
    <row r="47" spans="1:16" ht="15" customHeight="1" x14ac:dyDescent="0.3">
      <c r="A47" s="476"/>
      <c r="B47" s="480"/>
      <c r="C47" s="479"/>
      <c r="D47" s="479"/>
      <c r="E47" s="479"/>
      <c r="F47" s="479"/>
      <c r="G47" s="476"/>
      <c r="H47" s="476"/>
      <c r="I47" s="476"/>
      <c r="J47" s="476"/>
      <c r="K47" s="476"/>
      <c r="L47" s="476"/>
      <c r="M47" s="476"/>
      <c r="N47" s="476"/>
      <c r="O47" s="476"/>
      <c r="P47" s="167"/>
    </row>
    <row r="48" spans="1:16" ht="15" customHeight="1" x14ac:dyDescent="0.3">
      <c r="A48" s="476"/>
      <c r="B48" s="480"/>
      <c r="C48" s="479"/>
      <c r="D48" s="479"/>
      <c r="E48" s="479"/>
      <c r="F48" s="479"/>
      <c r="G48" s="476"/>
      <c r="H48" s="476"/>
      <c r="I48" s="476"/>
      <c r="J48" s="476"/>
      <c r="K48" s="476"/>
      <c r="L48" s="476"/>
      <c r="M48" s="476"/>
      <c r="N48" s="476"/>
      <c r="O48" s="476"/>
      <c r="P48" s="167"/>
    </row>
    <row r="49" spans="1:16" ht="15" customHeight="1" x14ac:dyDescent="0.3">
      <c r="A49" s="476"/>
      <c r="B49" s="480"/>
      <c r="C49" s="479"/>
      <c r="D49" s="479"/>
      <c r="E49" s="479"/>
      <c r="F49" s="479"/>
      <c r="G49" s="476"/>
      <c r="H49" s="476"/>
      <c r="I49" s="476"/>
      <c r="J49" s="476"/>
      <c r="K49" s="476"/>
      <c r="L49" s="476"/>
      <c r="M49" s="476"/>
      <c r="N49" s="476"/>
      <c r="O49" s="476"/>
      <c r="P49" s="167"/>
    </row>
    <row r="50" spans="1:16" ht="15" customHeight="1" x14ac:dyDescent="0.3">
      <c r="A50" s="476"/>
      <c r="B50" s="480"/>
      <c r="C50" s="479"/>
      <c r="D50" s="479"/>
      <c r="E50" s="479"/>
      <c r="F50" s="479"/>
      <c r="G50" s="476"/>
      <c r="H50" s="476"/>
      <c r="I50" s="476"/>
      <c r="J50" s="476"/>
      <c r="K50" s="476"/>
      <c r="L50" s="476"/>
      <c r="M50" s="476"/>
      <c r="N50" s="476"/>
      <c r="O50" s="476"/>
      <c r="P50" s="167"/>
    </row>
    <row r="51" spans="1:16" ht="15" customHeight="1" x14ac:dyDescent="0.3">
      <c r="A51" s="476"/>
      <c r="B51" s="480"/>
      <c r="C51" s="479"/>
      <c r="D51" s="479"/>
      <c r="E51" s="479"/>
      <c r="F51" s="479"/>
      <c r="G51" s="476"/>
      <c r="H51" s="476"/>
      <c r="I51" s="476"/>
      <c r="J51" s="476"/>
      <c r="K51" s="476"/>
      <c r="L51" s="476"/>
      <c r="M51" s="476"/>
      <c r="N51" s="476"/>
      <c r="O51" s="476"/>
      <c r="P51" s="167"/>
    </row>
    <row r="52" spans="1:16" ht="15" customHeight="1" x14ac:dyDescent="0.3">
      <c r="A52" s="476"/>
      <c r="B52" s="480"/>
      <c r="C52" s="479"/>
      <c r="D52" s="479"/>
      <c r="E52" s="479"/>
      <c r="F52" s="479"/>
      <c r="G52" s="476"/>
      <c r="H52" s="476"/>
      <c r="I52" s="476"/>
      <c r="J52" s="476"/>
      <c r="K52" s="476"/>
      <c r="L52" s="476"/>
      <c r="M52" s="476"/>
      <c r="N52" s="476"/>
      <c r="O52" s="476"/>
      <c r="P52" s="167"/>
    </row>
    <row r="53" spans="1:16" ht="15" customHeight="1" x14ac:dyDescent="0.3">
      <c r="A53" s="476"/>
      <c r="B53" s="480"/>
      <c r="C53" s="479"/>
      <c r="D53" s="479"/>
      <c r="E53" s="479"/>
      <c r="F53" s="479"/>
      <c r="G53" s="476"/>
      <c r="H53" s="476"/>
      <c r="I53" s="476"/>
      <c r="J53" s="476"/>
      <c r="K53" s="476"/>
      <c r="L53" s="476"/>
      <c r="M53" s="476"/>
      <c r="N53" s="476"/>
      <c r="O53" s="476"/>
      <c r="P53" s="167"/>
    </row>
    <row r="54" spans="1:16" ht="15" customHeight="1" x14ac:dyDescent="0.3">
      <c r="A54" s="476"/>
      <c r="B54" s="480"/>
      <c r="C54" s="479"/>
      <c r="D54" s="479"/>
      <c r="E54" s="479"/>
      <c r="F54" s="479"/>
      <c r="G54" s="476"/>
      <c r="H54" s="476"/>
      <c r="I54" s="476"/>
      <c r="J54" s="476"/>
      <c r="K54" s="476"/>
      <c r="L54" s="476"/>
      <c r="M54" s="476"/>
      <c r="N54" s="476"/>
      <c r="O54" s="476"/>
      <c r="P54" s="167"/>
    </row>
    <row r="55" spans="1:16" ht="15" customHeight="1" x14ac:dyDescent="0.3">
      <c r="A55" s="476"/>
      <c r="B55" s="480"/>
      <c r="C55" s="479"/>
      <c r="D55" s="479"/>
      <c r="E55" s="479"/>
      <c r="F55" s="479"/>
      <c r="G55" s="476"/>
      <c r="H55" s="476"/>
      <c r="I55" s="476"/>
      <c r="J55" s="476"/>
      <c r="K55" s="476"/>
      <c r="L55" s="476"/>
      <c r="M55" s="476"/>
      <c r="N55" s="476"/>
      <c r="O55" s="476"/>
      <c r="P55" s="167"/>
    </row>
    <row r="56" spans="1:16" ht="15" customHeight="1" x14ac:dyDescent="0.3">
      <c r="A56" s="476"/>
      <c r="B56" s="480"/>
      <c r="C56" s="479"/>
      <c r="D56" s="479"/>
      <c r="E56" s="479"/>
      <c r="F56" s="479"/>
      <c r="G56" s="476"/>
      <c r="H56" s="476"/>
      <c r="I56" s="476"/>
      <c r="J56" s="476"/>
      <c r="K56" s="476"/>
      <c r="L56" s="476"/>
      <c r="M56" s="476"/>
      <c r="N56" s="476"/>
      <c r="O56" s="476"/>
      <c r="P56" s="167"/>
    </row>
    <row r="57" spans="1:16" ht="15" customHeight="1" x14ac:dyDescent="0.3">
      <c r="A57" s="476"/>
      <c r="B57" s="480"/>
      <c r="C57" s="479"/>
      <c r="D57" s="479"/>
      <c r="E57" s="479"/>
      <c r="F57" s="479"/>
      <c r="G57" s="476"/>
      <c r="H57" s="476"/>
      <c r="I57" s="476"/>
      <c r="J57" s="476"/>
      <c r="K57" s="476"/>
      <c r="L57" s="476"/>
      <c r="M57" s="476"/>
      <c r="N57" s="476"/>
      <c r="O57" s="476"/>
      <c r="P57" s="167"/>
    </row>
    <row r="58" spans="1:16" ht="15" customHeight="1" x14ac:dyDescent="0.3">
      <c r="A58" s="476"/>
      <c r="B58" s="480"/>
      <c r="C58" s="479"/>
      <c r="D58" s="479"/>
      <c r="E58" s="479"/>
      <c r="F58" s="479"/>
      <c r="G58" s="476"/>
      <c r="H58" s="476"/>
      <c r="I58" s="476"/>
      <c r="J58" s="476"/>
      <c r="K58" s="476"/>
      <c r="L58" s="476"/>
      <c r="M58" s="476"/>
      <c r="N58" s="476"/>
      <c r="O58" s="476"/>
      <c r="P58" s="167"/>
    </row>
    <row r="59" spans="1:16" ht="18.75" customHeight="1" x14ac:dyDescent="0.3">
      <c r="A59" s="476"/>
      <c r="B59" s="480"/>
      <c r="C59" s="479"/>
      <c r="D59" s="479"/>
      <c r="E59" s="479"/>
      <c r="F59" s="479"/>
      <c r="G59" s="476"/>
      <c r="H59" s="476"/>
      <c r="I59" s="476"/>
      <c r="J59" s="476"/>
      <c r="K59" s="476"/>
      <c r="L59" s="476"/>
      <c r="M59" s="476"/>
      <c r="N59" s="476"/>
      <c r="O59" s="476"/>
      <c r="P59" s="167"/>
    </row>
    <row r="60" spans="1:16" ht="15" customHeight="1" x14ac:dyDescent="0.3">
      <c r="A60" s="476"/>
      <c r="B60" s="480"/>
      <c r="C60" s="479"/>
      <c r="D60" s="479"/>
      <c r="E60" s="479"/>
      <c r="F60" s="479"/>
      <c r="G60" s="476"/>
      <c r="H60" s="476"/>
      <c r="I60" s="476"/>
      <c r="J60" s="476"/>
      <c r="K60" s="476"/>
      <c r="L60" s="476"/>
      <c r="M60" s="476"/>
      <c r="N60" s="476"/>
      <c r="O60" s="476"/>
      <c r="P60" s="167"/>
    </row>
    <row r="61" spans="1:16" ht="15" customHeight="1" x14ac:dyDescent="0.3">
      <c r="A61" s="476"/>
      <c r="B61" s="480"/>
      <c r="C61" s="479"/>
      <c r="D61" s="479"/>
      <c r="E61" s="479"/>
      <c r="F61" s="479"/>
      <c r="G61" s="476"/>
      <c r="H61" s="476"/>
      <c r="I61" s="476"/>
      <c r="J61" s="476"/>
      <c r="K61" s="476"/>
      <c r="L61" s="476"/>
      <c r="M61" s="476"/>
      <c r="N61" s="476"/>
      <c r="O61" s="476"/>
      <c r="P61" s="167"/>
    </row>
    <row r="62" spans="1:16" ht="15" customHeight="1" x14ac:dyDescent="0.3">
      <c r="A62" s="476"/>
      <c r="B62" s="480"/>
      <c r="C62" s="479"/>
      <c r="D62" s="479"/>
      <c r="E62" s="479"/>
      <c r="F62" s="479"/>
      <c r="G62" s="476"/>
      <c r="H62" s="476"/>
      <c r="I62" s="476"/>
      <c r="J62" s="476"/>
      <c r="K62" s="476"/>
      <c r="L62" s="476"/>
      <c r="M62" s="476"/>
      <c r="N62" s="476"/>
      <c r="O62" s="476"/>
      <c r="P62" s="167"/>
    </row>
    <row r="63" spans="1:16" ht="15" customHeight="1" x14ac:dyDescent="0.3">
      <c r="A63" s="476"/>
      <c r="B63" s="480"/>
      <c r="C63" s="479"/>
      <c r="D63" s="479"/>
      <c r="E63" s="479"/>
      <c r="F63" s="479"/>
      <c r="G63" s="476"/>
      <c r="H63" s="476"/>
      <c r="I63" s="476"/>
      <c r="J63" s="476"/>
      <c r="K63" s="476"/>
      <c r="L63" s="476"/>
      <c r="M63" s="476"/>
      <c r="N63" s="476"/>
      <c r="O63" s="476"/>
      <c r="P63" s="167"/>
    </row>
    <row r="64" spans="1:16" ht="15" customHeight="1" x14ac:dyDescent="0.3">
      <c r="A64" s="476"/>
      <c r="B64" s="480"/>
      <c r="C64" s="479"/>
      <c r="D64" s="479"/>
      <c r="E64" s="479"/>
      <c r="F64" s="479"/>
      <c r="G64" s="476"/>
      <c r="H64" s="476"/>
      <c r="I64" s="476"/>
      <c r="J64" s="476"/>
      <c r="K64" s="476"/>
      <c r="L64" s="476"/>
      <c r="M64" s="476"/>
      <c r="N64" s="476"/>
      <c r="O64" s="476"/>
      <c r="P64" s="167"/>
    </row>
    <row r="65" spans="1:16" ht="19.5" customHeight="1" x14ac:dyDescent="0.3">
      <c r="A65" s="476"/>
      <c r="B65" s="476"/>
      <c r="C65" s="476"/>
      <c r="D65" s="476"/>
      <c r="E65" s="476"/>
      <c r="F65" s="479"/>
      <c r="G65" s="476"/>
      <c r="H65" s="476"/>
      <c r="I65" s="476"/>
      <c r="J65" s="476"/>
      <c r="K65" s="476"/>
      <c r="L65" s="476"/>
      <c r="M65" s="476"/>
      <c r="N65" s="476"/>
      <c r="O65" s="476"/>
      <c r="P65" s="167"/>
    </row>
    <row r="66" spans="1:16" ht="12" customHeight="1" x14ac:dyDescent="0.25">
      <c r="A66" s="476"/>
      <c r="B66" s="485"/>
      <c r="C66" s="485"/>
      <c r="D66" s="485"/>
      <c r="E66" s="485"/>
      <c r="F66" s="485"/>
      <c r="G66" s="485"/>
      <c r="H66" s="485"/>
      <c r="I66" s="485"/>
      <c r="J66" s="485"/>
      <c r="K66" s="485"/>
      <c r="L66" s="485"/>
      <c r="M66" s="485"/>
      <c r="N66" s="485"/>
      <c r="O66" s="486"/>
      <c r="P66" s="167"/>
    </row>
    <row r="67" spans="1:16" ht="12" customHeight="1" x14ac:dyDescent="0.25">
      <c r="A67" s="476"/>
      <c r="B67" s="485"/>
      <c r="C67" s="485"/>
      <c r="D67" s="485"/>
      <c r="E67" s="485"/>
      <c r="F67" s="485"/>
      <c r="G67" s="485"/>
      <c r="H67" s="485"/>
      <c r="I67" s="485"/>
      <c r="J67" s="485"/>
      <c r="K67" s="485"/>
      <c r="L67" s="485"/>
      <c r="M67" s="485"/>
      <c r="N67" s="485"/>
      <c r="O67" s="486"/>
      <c r="P67" s="167"/>
    </row>
    <row r="68" spans="1:16" ht="24" customHeight="1" x14ac:dyDescent="0.35">
      <c r="A68" s="476"/>
      <c r="B68" s="1398"/>
      <c r="C68" s="1398"/>
      <c r="D68" s="1398"/>
      <c r="E68" s="486"/>
      <c r="F68" s="486"/>
      <c r="G68" s="486"/>
      <c r="H68" s="486"/>
      <c r="I68" s="486"/>
      <c r="J68" s="486"/>
      <c r="K68" s="486"/>
      <c r="L68" s="486"/>
      <c r="M68" s="486"/>
      <c r="N68" s="486"/>
      <c r="O68" s="486"/>
      <c r="P68" s="167"/>
    </row>
    <row r="69" spans="1:16" ht="22.5" customHeight="1" x14ac:dyDescent="0.35">
      <c r="A69" s="476"/>
      <c r="B69" s="1398" t="s">
        <v>724</v>
      </c>
      <c r="C69" s="1398"/>
      <c r="D69" s="1398"/>
      <c r="E69" s="486"/>
      <c r="F69" s="486"/>
      <c r="G69" s="486"/>
      <c r="H69" s="486"/>
      <c r="I69" s="486"/>
      <c r="J69" s="486"/>
      <c r="K69" s="486"/>
      <c r="L69" s="486"/>
      <c r="M69" s="486"/>
      <c r="N69" s="486"/>
      <c r="O69" s="486"/>
      <c r="P69" s="167"/>
    </row>
    <row r="70" spans="1:16" ht="9" customHeight="1" x14ac:dyDescent="0.3">
      <c r="A70" s="476"/>
      <c r="B70" s="487"/>
      <c r="C70" s="486"/>
      <c r="D70" s="486"/>
      <c r="E70" s="486"/>
      <c r="F70" s="486"/>
      <c r="G70" s="486"/>
      <c r="H70" s="486"/>
      <c r="I70" s="486"/>
      <c r="J70" s="486"/>
      <c r="K70" s="486"/>
      <c r="L70" s="486"/>
      <c r="M70" s="486"/>
      <c r="N70" s="486"/>
      <c r="O70" s="486"/>
      <c r="P70" s="167"/>
    </row>
    <row r="71" spans="1:16" ht="14.25" customHeight="1" x14ac:dyDescent="0.25">
      <c r="A71" s="476"/>
      <c r="B71" s="483" t="s">
        <v>1932</v>
      </c>
      <c r="C71" s="483"/>
      <c r="D71" s="483"/>
      <c r="E71" s="483"/>
      <c r="F71" s="483"/>
      <c r="G71" s="488" t="s">
        <v>162</v>
      </c>
      <c r="H71" s="488"/>
      <c r="I71" s="483"/>
      <c r="J71" s="483"/>
      <c r="K71" s="483"/>
      <c r="L71" s="483"/>
      <c r="M71" s="483"/>
      <c r="N71" s="483"/>
      <c r="O71" s="486"/>
      <c r="P71" s="167"/>
    </row>
    <row r="72" spans="1:16" x14ac:dyDescent="0.25">
      <c r="A72" s="476"/>
      <c r="B72" s="489"/>
      <c r="C72" s="489"/>
      <c r="D72" s="489"/>
      <c r="E72" s="489"/>
      <c r="F72" s="489"/>
      <c r="G72" s="489"/>
      <c r="H72" s="489"/>
      <c r="I72" s="489"/>
      <c r="J72" s="489"/>
      <c r="K72" s="489"/>
      <c r="L72" s="489"/>
      <c r="M72" s="489"/>
      <c r="N72" s="489"/>
      <c r="O72" s="486"/>
      <c r="P72" s="167"/>
    </row>
    <row r="73" spans="1:16" hidden="1" x14ac:dyDescent="0.25"/>
    <row r="74" spans="1:16" hidden="1" x14ac:dyDescent="0.25"/>
    <row r="75" spans="1:16" hidden="1" x14ac:dyDescent="0.25"/>
    <row r="76" spans="1:16" hidden="1" x14ac:dyDescent="0.25"/>
    <row r="77" spans="1:16" hidden="1" x14ac:dyDescent="0.25"/>
    <row r="78" spans="1:16" hidden="1" x14ac:dyDescent="0.25"/>
    <row r="79" spans="1:16" hidden="1" x14ac:dyDescent="0.25"/>
    <row r="80" spans="1: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sheetData>
  <sheetProtection algorithmName="SHA-512" hashValue="kzUBT5S2cfWm9DiW9NmRK+x+uMpl1ED6mzPZY68k5lL0AvXgMFyL88g47jyyhoPiabebf6nCUaUbn0VnXYG9xw==" saltValue="0ItV1dwjxgQwdCxgjUn/Uw==" spinCount="100000" sheet="1" objects="1" scenarios="1"/>
  <mergeCells count="27">
    <mergeCell ref="B69:D69"/>
    <mergeCell ref="J24:K24"/>
    <mergeCell ref="J25:K25"/>
    <mergeCell ref="B24:C24"/>
    <mergeCell ref="B25:C25"/>
    <mergeCell ref="F24:G24"/>
    <mergeCell ref="F25:G25"/>
    <mergeCell ref="H24:I24"/>
    <mergeCell ref="H25:I25"/>
    <mergeCell ref="D24:E24"/>
    <mergeCell ref="D25:E25"/>
    <mergeCell ref="B7:D7"/>
    <mergeCell ref="B15:D15"/>
    <mergeCell ref="B68:D68"/>
    <mergeCell ref="J1:O1"/>
    <mergeCell ref="J2:K2"/>
    <mergeCell ref="J4:K4"/>
    <mergeCell ref="J3:K3"/>
    <mergeCell ref="A1:I1"/>
    <mergeCell ref="B2:E2"/>
    <mergeCell ref="B3:E3"/>
    <mergeCell ref="B4:E4"/>
    <mergeCell ref="B17:K17"/>
    <mergeCell ref="B18:K18"/>
    <mergeCell ref="B19:K19"/>
    <mergeCell ref="B20:K20"/>
    <mergeCell ref="B21:K21"/>
  </mergeCells>
  <hyperlinks>
    <hyperlink ref="B3" location="Instructions!B16" tooltip="How to use this tool?" display="2. How to use this tool?"/>
    <hyperlink ref="B2" location="Instructions!B8" tooltip="General" display="1. General"/>
    <hyperlink ref="B4:E4" location="Instructions!B69" tooltip="Enquiries" display="3. Enquiries"/>
    <hyperlink ref="G71" r:id="rId1"/>
    <hyperlink ref="B3:E3" location="Instructions!B15" tooltip="How to use this Tool?" display="2. How to use this Tool?"/>
    <hyperlink ref="B2:E2" location="Instructions!B7" tooltip="General" display="1. General"/>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84806"/>
  </sheetPr>
  <dimension ref="A1:L77"/>
  <sheetViews>
    <sheetView showRowColHeaders="0" workbookViewId="0">
      <pane ySplit="8" topLeftCell="A9" activePane="bottomLeft" state="frozen"/>
      <selection activeCell="E21" sqref="E21"/>
      <selection pane="bottomLeft" activeCell="D2" sqref="D2"/>
    </sheetView>
  </sheetViews>
  <sheetFormatPr defaultColWidth="0" defaultRowHeight="15" customHeight="1" zeroHeight="1" x14ac:dyDescent="0.25"/>
  <cols>
    <col min="1" max="1" width="5.7109375" style="37" customWidth="1"/>
    <col min="2" max="2" width="18.42578125" style="37" customWidth="1"/>
    <col min="3" max="3" width="17" style="37" customWidth="1"/>
    <col min="4" max="5" width="18.42578125" style="37" customWidth="1"/>
    <col min="6" max="7" width="17.85546875" style="37" customWidth="1"/>
    <col min="8" max="8" width="20.28515625" style="37" customWidth="1"/>
    <col min="9" max="9" width="16.85546875" style="37" customWidth="1"/>
    <col min="10" max="10" width="11.28515625" style="37" customWidth="1"/>
    <col min="11" max="11" width="9.85546875" style="37" customWidth="1"/>
    <col min="12" max="12" width="0" style="37" hidden="1" customWidth="1"/>
    <col min="13" max="16384" width="9.140625" style="37" hidden="1"/>
  </cols>
  <sheetData>
    <row r="1" spans="1:11" ht="25.5" customHeight="1" x14ac:dyDescent="0.25">
      <c r="A1" s="2387" t="s">
        <v>342</v>
      </c>
      <c r="B1" s="2387"/>
      <c r="C1" s="2387"/>
      <c r="D1" s="2387"/>
      <c r="E1" s="2387"/>
      <c r="F1" s="2387"/>
      <c r="G1" s="2387"/>
      <c r="H1" s="2387"/>
      <c r="I1" s="2387"/>
      <c r="J1" s="2387"/>
      <c r="K1" s="2387"/>
    </row>
    <row r="2" spans="1:11" ht="15" customHeight="1" x14ac:dyDescent="0.25">
      <c r="A2" s="48"/>
      <c r="B2" s="49"/>
      <c r="C2" s="49"/>
      <c r="D2" s="49"/>
      <c r="E2" s="49"/>
      <c r="F2" s="48"/>
      <c r="G2" s="48"/>
      <c r="H2" s="1694" t="s">
        <v>1726</v>
      </c>
      <c r="I2" s="1694"/>
      <c r="J2" s="789" t="s">
        <v>324</v>
      </c>
      <c r="K2" s="789"/>
    </row>
    <row r="3" spans="1:11" ht="15" customHeight="1" x14ac:dyDescent="0.25">
      <c r="A3" s="48"/>
      <c r="B3" s="49"/>
      <c r="C3" s="49"/>
      <c r="D3" s="49"/>
      <c r="E3" s="49"/>
      <c r="F3" s="48"/>
      <c r="G3" s="48"/>
      <c r="H3" s="1694"/>
      <c r="I3" s="1694"/>
      <c r="J3" s="789" t="s">
        <v>325</v>
      </c>
      <c r="K3" s="789" t="s">
        <v>330</v>
      </c>
    </row>
    <row r="4" spans="1:11" ht="15" customHeight="1" x14ac:dyDescent="0.25">
      <c r="A4" s="48"/>
      <c r="B4" s="49"/>
      <c r="C4" s="49"/>
      <c r="D4" s="49"/>
      <c r="E4" s="49"/>
      <c r="F4" s="48"/>
      <c r="G4" s="48"/>
      <c r="H4" s="1695"/>
      <c r="I4" s="1695"/>
      <c r="J4" s="789" t="s">
        <v>326</v>
      </c>
      <c r="K4" s="789"/>
    </row>
    <row r="5" spans="1:11" ht="18" customHeight="1" x14ac:dyDescent="0.25">
      <c r="A5" s="1704" t="s">
        <v>2852</v>
      </c>
      <c r="B5" s="1705"/>
      <c r="C5" s="1705"/>
      <c r="D5" s="1705"/>
      <c r="E5" s="1705"/>
      <c r="F5" s="1705"/>
      <c r="G5" s="1705"/>
      <c r="H5" s="1705"/>
      <c r="I5" s="1705"/>
      <c r="J5" s="1705"/>
      <c r="K5" s="1705"/>
    </row>
    <row r="6" spans="1:11" ht="18" customHeight="1" x14ac:dyDescent="0.25">
      <c r="A6" s="1707"/>
      <c r="B6" s="1708"/>
      <c r="C6" s="1708"/>
      <c r="D6" s="1708"/>
      <c r="E6" s="1708"/>
      <c r="F6" s="1708"/>
      <c r="G6" s="1708"/>
      <c r="H6" s="1708"/>
      <c r="I6" s="1708"/>
      <c r="J6" s="1708"/>
      <c r="K6" s="1708"/>
    </row>
    <row r="7" spans="1:11" ht="17.25" customHeight="1" x14ac:dyDescent="0.25">
      <c r="A7" s="1710"/>
      <c r="B7" s="1711"/>
      <c r="C7" s="1711"/>
      <c r="D7" s="1711"/>
      <c r="E7" s="1711"/>
      <c r="F7" s="1711"/>
      <c r="G7" s="1711"/>
      <c r="H7" s="1711"/>
      <c r="I7" s="1711"/>
      <c r="J7" s="1711"/>
      <c r="K7" s="1711"/>
    </row>
    <row r="8" spans="1:11" ht="12" customHeight="1" x14ac:dyDescent="0.25">
      <c r="A8" s="48"/>
      <c r="B8" s="49"/>
      <c r="C8" s="49"/>
      <c r="D8" s="49"/>
      <c r="E8" s="49"/>
      <c r="F8" s="48"/>
      <c r="G8" s="48"/>
      <c r="H8" s="48"/>
      <c r="I8" s="48"/>
      <c r="J8" s="48"/>
      <c r="K8" s="48"/>
    </row>
    <row r="9" spans="1:11" ht="18" customHeight="1" x14ac:dyDescent="0.25">
      <c r="A9" s="2381" t="s">
        <v>95</v>
      </c>
      <c r="B9" s="2381"/>
      <c r="C9" s="2381"/>
      <c r="D9" s="2381"/>
      <c r="E9" s="2381"/>
      <c r="F9" s="2381"/>
      <c r="G9" s="2381"/>
      <c r="H9" s="2381"/>
      <c r="I9" s="2381"/>
      <c r="J9" s="2381"/>
      <c r="K9" s="2381"/>
    </row>
    <row r="10" spans="1:11" x14ac:dyDescent="0.25">
      <c r="A10" s="48"/>
      <c r="B10" s="49"/>
      <c r="C10" s="49"/>
      <c r="D10" s="49"/>
      <c r="E10" s="49"/>
      <c r="F10" s="48"/>
      <c r="G10" s="48"/>
      <c r="H10" s="48"/>
      <c r="I10" s="48"/>
      <c r="J10" s="48"/>
      <c r="K10" s="48"/>
    </row>
    <row r="11" spans="1:11" ht="21" customHeight="1" x14ac:dyDescent="0.25">
      <c r="A11" s="48"/>
      <c r="B11" s="2390" t="s">
        <v>96</v>
      </c>
      <c r="C11" s="2391"/>
      <c r="D11" s="2391"/>
      <c r="E11" s="2391"/>
      <c r="F11" s="540" t="s">
        <v>75</v>
      </c>
      <c r="G11" s="540" t="s">
        <v>19</v>
      </c>
      <c r="H11" s="56" t="s">
        <v>151</v>
      </c>
      <c r="I11" s="48"/>
      <c r="J11" s="48"/>
      <c r="K11" s="48"/>
    </row>
    <row r="12" spans="1:11" ht="21" customHeight="1" x14ac:dyDescent="0.25">
      <c r="A12" s="48"/>
      <c r="B12" s="2105" t="s">
        <v>484</v>
      </c>
      <c r="C12" s="2106"/>
      <c r="D12" s="2106"/>
      <c r="E12" s="2107"/>
      <c r="F12" s="166">
        <v>1</v>
      </c>
      <c r="G12" s="166">
        <f>C37</f>
        <v>0</v>
      </c>
      <c r="H12" s="166" t="str">
        <f>C38</f>
        <v>No</v>
      </c>
      <c r="I12" s="48"/>
      <c r="J12" s="48"/>
      <c r="K12" s="48"/>
    </row>
    <row r="13" spans="1:11" x14ac:dyDescent="0.25">
      <c r="A13" s="48"/>
      <c r="B13" s="49"/>
      <c r="C13" s="49"/>
      <c r="D13" s="49"/>
      <c r="E13" s="49"/>
      <c r="F13" s="48"/>
      <c r="G13" s="48"/>
      <c r="H13" s="48"/>
      <c r="I13" s="48"/>
      <c r="J13" s="48"/>
      <c r="K13" s="48"/>
    </row>
    <row r="14" spans="1:11" ht="18" customHeight="1" x14ac:dyDescent="0.25">
      <c r="A14" s="2381" t="s">
        <v>117</v>
      </c>
      <c r="B14" s="2381"/>
      <c r="C14" s="2381"/>
      <c r="D14" s="2381"/>
      <c r="E14" s="2381"/>
      <c r="F14" s="2381"/>
      <c r="G14" s="2381"/>
      <c r="H14" s="2381"/>
      <c r="I14" s="2381"/>
      <c r="J14" s="2381"/>
      <c r="K14" s="2381"/>
    </row>
    <row r="15" spans="1:11" ht="12" customHeight="1" x14ac:dyDescent="0.25">
      <c r="A15" s="48"/>
      <c r="B15" s="49"/>
      <c r="C15" s="49"/>
      <c r="D15" s="49"/>
      <c r="E15" s="49"/>
      <c r="F15" s="48"/>
      <c r="G15" s="48"/>
      <c r="H15" s="48"/>
      <c r="I15" s="48"/>
      <c r="J15" s="48"/>
      <c r="K15" s="48"/>
    </row>
    <row r="16" spans="1:11" x14ac:dyDescent="0.25">
      <c r="A16" s="48"/>
      <c r="B16" s="625" t="s">
        <v>489</v>
      </c>
      <c r="C16" s="49"/>
      <c r="D16" s="49"/>
      <c r="E16" s="49"/>
      <c r="F16" s="48"/>
      <c r="G16" s="48"/>
      <c r="H16" s="48"/>
      <c r="I16" s="48"/>
      <c r="J16" s="48"/>
      <c r="K16" s="48"/>
    </row>
    <row r="17" spans="1:12" ht="21" customHeight="1" x14ac:dyDescent="0.25">
      <c r="A17" s="48"/>
      <c r="B17" s="49"/>
      <c r="C17" s="49"/>
      <c r="D17" s="49"/>
      <c r="E17" s="49"/>
      <c r="F17" s="48"/>
      <c r="G17" s="48"/>
      <c r="H17" s="48"/>
      <c r="I17" s="48"/>
      <c r="J17" s="48"/>
      <c r="K17" s="48"/>
    </row>
    <row r="18" spans="1:12" x14ac:dyDescent="0.25">
      <c r="A18" s="48"/>
      <c r="B18" s="671" t="s">
        <v>1004</v>
      </c>
      <c r="C18" s="49"/>
      <c r="D18" s="49"/>
      <c r="E18" s="49"/>
      <c r="F18" s="48"/>
      <c r="G18" s="48"/>
      <c r="H18" s="48"/>
      <c r="I18" s="48"/>
      <c r="J18" s="48"/>
      <c r="K18" s="48"/>
    </row>
    <row r="19" spans="1:12" ht="12.75" customHeight="1" x14ac:dyDescent="0.25">
      <c r="A19" s="48"/>
      <c r="B19" s="49"/>
      <c r="C19" s="49"/>
      <c r="D19" s="49"/>
      <c r="E19" s="49"/>
      <c r="F19" s="48"/>
      <c r="G19" s="48"/>
      <c r="H19" s="48"/>
      <c r="I19" s="48"/>
      <c r="J19" s="48"/>
      <c r="K19" s="48"/>
    </row>
    <row r="20" spans="1:12" ht="18" customHeight="1" x14ac:dyDescent="0.25">
      <c r="A20" s="48"/>
      <c r="B20" s="1620" t="s">
        <v>2588</v>
      </c>
      <c r="C20" s="1620"/>
      <c r="D20" s="1620"/>
      <c r="E20" s="1620"/>
      <c r="F20" s="1620"/>
      <c r="G20" s="768" t="s">
        <v>62</v>
      </c>
      <c r="H20" s="48"/>
      <c r="I20" s="48"/>
      <c r="J20" s="48"/>
      <c r="K20" s="48"/>
    </row>
    <row r="21" spans="1:12" ht="18" customHeight="1" x14ac:dyDescent="0.25">
      <c r="A21" s="48"/>
      <c r="B21" s="1620" t="str">
        <f>IF('Project information'!$C$7="Full Certification stage","• Has the LOTUS AP contributed to the project from design to completion of fit-out?","• Will the LOTUS AP contribute to the project from design to completion of fit-out?")</f>
        <v>• Will the LOTUS AP contribute to the project from design to completion of fit-out?</v>
      </c>
      <c r="C21" s="1620"/>
      <c r="D21" s="1620"/>
      <c r="E21" s="1620"/>
      <c r="F21" s="1620"/>
      <c r="G21" s="1253" t="s">
        <v>62</v>
      </c>
      <c r="H21" s="48"/>
      <c r="I21" s="48"/>
      <c r="J21" s="48"/>
      <c r="K21" s="48"/>
    </row>
    <row r="22" spans="1:12" ht="18" customHeight="1" x14ac:dyDescent="0.25">
      <c r="A22" s="48"/>
      <c r="B22" s="48"/>
      <c r="C22" s="48"/>
      <c r="D22" s="48"/>
      <c r="E22" s="48"/>
      <c r="F22" s="48"/>
      <c r="G22" s="48"/>
      <c r="H22" s="48"/>
      <c r="I22" s="48"/>
      <c r="J22" s="48"/>
      <c r="K22" s="48"/>
    </row>
    <row r="23" spans="1:12" ht="18" customHeight="1" x14ac:dyDescent="0.25">
      <c r="A23" s="48"/>
      <c r="B23" s="2388" t="s">
        <v>485</v>
      </c>
      <c r="C23" s="2389"/>
      <c r="D23" s="2392"/>
      <c r="E23" s="2393"/>
      <c r="F23" s="327"/>
      <c r="G23" s="327"/>
      <c r="H23" s="327"/>
      <c r="I23" s="327"/>
      <c r="J23" s="48"/>
      <c r="K23" s="48"/>
    </row>
    <row r="24" spans="1:12" ht="18" customHeight="1" x14ac:dyDescent="0.25">
      <c r="A24" s="48"/>
      <c r="B24" s="2388" t="s">
        <v>486</v>
      </c>
      <c r="C24" s="2389"/>
      <c r="D24" s="2392"/>
      <c r="E24" s="2393"/>
      <c r="F24" s="327"/>
      <c r="G24" s="327"/>
      <c r="H24" s="327"/>
      <c r="I24" s="1258"/>
      <c r="J24" s="121"/>
      <c r="K24" s="48"/>
    </row>
    <row r="25" spans="1:12" ht="42" customHeight="1" x14ac:dyDescent="0.25">
      <c r="A25" s="48"/>
      <c r="B25" s="2388" t="s">
        <v>487</v>
      </c>
      <c r="C25" s="2389"/>
      <c r="D25" s="2394"/>
      <c r="E25" s="2395"/>
      <c r="F25" s="2395"/>
      <c r="G25" s="2395"/>
      <c r="H25" s="2395"/>
      <c r="I25" s="2396"/>
      <c r="J25" s="48"/>
      <c r="K25" s="48"/>
    </row>
    <row r="26" spans="1:12" ht="16.5" customHeight="1" x14ac:dyDescent="0.25">
      <c r="A26" s="48"/>
      <c r="B26" s="49"/>
      <c r="C26" s="49"/>
      <c r="D26" s="49"/>
      <c r="E26" s="49"/>
      <c r="F26" s="48"/>
      <c r="G26" s="48"/>
      <c r="H26" s="48"/>
      <c r="I26" s="48"/>
      <c r="J26" s="48"/>
      <c r="K26" s="48"/>
    </row>
    <row r="27" spans="1:12" ht="20.25" customHeight="1" x14ac:dyDescent="0.25">
      <c r="A27" s="48"/>
      <c r="B27" s="2382" t="s">
        <v>488</v>
      </c>
      <c r="C27" s="2382"/>
      <c r="D27" s="2382"/>
      <c r="E27" s="157" t="str">
        <f>IF(AND(D25&lt;&gt;"",D23&lt;&gt;"",D24&lt;&gt;"",COUNTIF(G20:G21,"Yes")=2),"Yes","No")</f>
        <v>No</v>
      </c>
      <c r="F27" s="48"/>
      <c r="G27" s="48"/>
      <c r="H27" s="48"/>
      <c r="I27" s="48"/>
      <c r="J27" s="48"/>
      <c r="K27" s="48"/>
    </row>
    <row r="28" spans="1:12" ht="16.5" customHeight="1" x14ac:dyDescent="0.25">
      <c r="A28" s="48"/>
      <c r="B28" s="49"/>
      <c r="C28" s="49"/>
      <c r="D28" s="49"/>
      <c r="E28" s="48"/>
      <c r="F28" s="48"/>
      <c r="G28" s="48"/>
      <c r="H28" s="48"/>
      <c r="I28" s="48"/>
      <c r="J28" s="48"/>
      <c r="K28" s="48"/>
    </row>
    <row r="29" spans="1:12" ht="18" customHeight="1" x14ac:dyDescent="0.25">
      <c r="A29" s="2381" t="s">
        <v>97</v>
      </c>
      <c r="B29" s="2381"/>
      <c r="C29" s="2381"/>
      <c r="D29" s="2381"/>
      <c r="E29" s="2381"/>
      <c r="F29" s="2381"/>
      <c r="G29" s="2381"/>
      <c r="H29" s="2381"/>
      <c r="I29" s="2381"/>
      <c r="J29" s="2381"/>
      <c r="K29" s="2381"/>
    </row>
    <row r="30" spans="1:12" x14ac:dyDescent="0.25">
      <c r="A30" s="48"/>
      <c r="B30" s="49"/>
      <c r="C30" s="49"/>
      <c r="D30" s="49"/>
      <c r="E30" s="48"/>
      <c r="F30" s="48"/>
      <c r="G30" s="48"/>
      <c r="H30" s="48"/>
      <c r="I30" s="48"/>
      <c r="J30" s="48"/>
      <c r="K30" s="48"/>
    </row>
    <row r="31" spans="1:12" ht="21" customHeight="1" x14ac:dyDescent="0.25">
      <c r="A31" s="48"/>
      <c r="B31" s="2383" t="s">
        <v>98</v>
      </c>
      <c r="C31" s="2384"/>
      <c r="D31" s="2384"/>
      <c r="E31" s="2384"/>
      <c r="F31" s="2384"/>
      <c r="G31" s="830" t="s">
        <v>1297</v>
      </c>
      <c r="H31" s="2385" t="s">
        <v>1298</v>
      </c>
      <c r="I31" s="2386"/>
      <c r="J31" s="48"/>
      <c r="K31" s="48"/>
    </row>
    <row r="32" spans="1:12" ht="30" customHeight="1" x14ac:dyDescent="0.25">
      <c r="A32" s="48"/>
      <c r="B32" s="2042" t="str">
        <f>Submittals!H168</f>
        <v>Select the Submission Stage in Project Information</v>
      </c>
      <c r="C32" s="2043"/>
      <c r="D32" s="2043"/>
      <c r="E32" s="2043"/>
      <c r="F32" s="2044"/>
      <c r="G32" s="827" t="s">
        <v>62</v>
      </c>
      <c r="H32" s="1625"/>
      <c r="I32" s="1626"/>
      <c r="J32" s="48"/>
      <c r="K32" s="48"/>
      <c r="L32" s="37" t="str">
        <f>IF(OR(B32="/",B32="No evidence required at this submission stage"),"Yes",IF(G32="Submitted","Yes","No"))</f>
        <v>No</v>
      </c>
    </row>
    <row r="33" spans="1:12" ht="30" customHeight="1" x14ac:dyDescent="0.25">
      <c r="A33" s="48"/>
      <c r="B33" s="2042" t="str">
        <f>Submittals!H169</f>
        <v>Select the Submission Stage in Project Information</v>
      </c>
      <c r="C33" s="2043"/>
      <c r="D33" s="2043"/>
      <c r="E33" s="2043"/>
      <c r="F33" s="2044"/>
      <c r="G33" s="1253" t="s">
        <v>62</v>
      </c>
      <c r="H33" s="1684"/>
      <c r="I33" s="2239"/>
      <c r="J33" s="48"/>
      <c r="K33" s="48"/>
      <c r="L33" s="37" t="str">
        <f>IF(OR(B33="/",B33="No evidence required at this submission stage"),"Yes",IF(OR(G33="Already approved at PC",G33="Submitted"),"Yes","No"))</f>
        <v>No</v>
      </c>
    </row>
    <row r="34" spans="1:12" ht="19.5" customHeight="1" x14ac:dyDescent="0.25">
      <c r="A34" s="48"/>
      <c r="B34" s="49"/>
      <c r="C34" s="49"/>
      <c r="D34" s="49"/>
      <c r="E34" s="48"/>
      <c r="F34" s="48"/>
      <c r="G34" s="48"/>
      <c r="H34" s="48"/>
      <c r="I34" s="48"/>
      <c r="J34" s="48"/>
      <c r="K34" s="48"/>
    </row>
    <row r="35" spans="1:12" ht="18" customHeight="1" x14ac:dyDescent="0.25">
      <c r="A35" s="2381" t="s">
        <v>8</v>
      </c>
      <c r="B35" s="2381"/>
      <c r="C35" s="2381"/>
      <c r="D35" s="2381"/>
      <c r="E35" s="2381"/>
      <c r="F35" s="2381"/>
      <c r="G35" s="2381"/>
      <c r="H35" s="2381"/>
      <c r="I35" s="2381"/>
      <c r="J35" s="2381"/>
      <c r="K35" s="2381"/>
    </row>
    <row r="36" spans="1:12" x14ac:dyDescent="0.25">
      <c r="A36" s="48"/>
      <c r="B36" s="49"/>
      <c r="C36" s="49"/>
      <c r="D36" s="49"/>
      <c r="E36" s="49"/>
      <c r="F36" s="48"/>
      <c r="G36" s="48"/>
      <c r="H36" s="48"/>
      <c r="I36" s="48"/>
      <c r="J36" s="48"/>
      <c r="K36" s="48"/>
    </row>
    <row r="37" spans="1:12" ht="18" customHeight="1" x14ac:dyDescent="0.25">
      <c r="A37" s="48"/>
      <c r="B37" s="156" t="s">
        <v>19</v>
      </c>
      <c r="C37" s="8">
        <f>IF(E27="Yes",1,0)</f>
        <v>0</v>
      </c>
      <c r="D37" s="49"/>
      <c r="E37" s="48"/>
      <c r="F37" s="48"/>
      <c r="G37" s="48"/>
      <c r="H37" s="48"/>
      <c r="I37" s="48"/>
      <c r="J37" s="48"/>
      <c r="K37" s="48"/>
    </row>
    <row r="38" spans="1:12" ht="18" customHeight="1" x14ac:dyDescent="0.25">
      <c r="A38" s="48"/>
      <c r="B38" s="156" t="s">
        <v>151</v>
      </c>
      <c r="C38" s="116" t="str">
        <f>IF(AND(COUNTIF(L32:L33,"Yes")=2,C37&gt;0),"Yes","No")</f>
        <v>No</v>
      </c>
      <c r="D38" s="49"/>
      <c r="E38" s="49"/>
      <c r="F38" s="48"/>
      <c r="G38" s="48"/>
      <c r="H38" s="48"/>
      <c r="I38" s="48"/>
      <c r="J38" s="48"/>
      <c r="K38" s="48"/>
    </row>
    <row r="39" spans="1:12" ht="18.75" customHeight="1" x14ac:dyDescent="0.25">
      <c r="A39" s="48"/>
      <c r="B39" s="49"/>
      <c r="C39" s="49"/>
      <c r="D39" s="49"/>
      <c r="E39" s="49"/>
      <c r="F39" s="48"/>
      <c r="G39" s="48"/>
      <c r="H39" s="48"/>
      <c r="I39" s="48"/>
      <c r="J39" s="48"/>
      <c r="K39" s="48"/>
    </row>
    <row r="40" spans="1:12" hidden="1" x14ac:dyDescent="0.25">
      <c r="J40" s="48"/>
      <c r="K40" s="48"/>
    </row>
    <row r="41" spans="1:12" hidden="1" x14ac:dyDescent="0.25">
      <c r="J41" s="48"/>
      <c r="K41" s="48"/>
    </row>
    <row r="42" spans="1:12" hidden="1" x14ac:dyDescent="0.25">
      <c r="J42" s="48"/>
      <c r="K42" s="48"/>
    </row>
    <row r="43" spans="1:12" ht="15" hidden="1" customHeight="1" x14ac:dyDescent="0.25"/>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sheetData>
  <sheetProtection algorithmName="SHA-512" hashValue="fbXMoWavozGsFPlPHs7S/YFHCNmgXMzqgw2q0+74Dye3DcKZO5d9r2XwWTKB9xx01YzUXk1Nj6zcvFJcuyms+w==" saltValue="naBC3Rk0DmwBNcyXRTgsLQ==" spinCount="100000" sheet="1" objects="1" scenarios="1"/>
  <mergeCells count="24">
    <mergeCell ref="A1:K1"/>
    <mergeCell ref="H2:I4"/>
    <mergeCell ref="B12:E12"/>
    <mergeCell ref="A5:K7"/>
    <mergeCell ref="B25:C25"/>
    <mergeCell ref="B11:E11"/>
    <mergeCell ref="B20:F20"/>
    <mergeCell ref="B21:F21"/>
    <mergeCell ref="B23:C23"/>
    <mergeCell ref="D23:E23"/>
    <mergeCell ref="B24:C24"/>
    <mergeCell ref="D24:E24"/>
    <mergeCell ref="D25:I25"/>
    <mergeCell ref="B33:F33"/>
    <mergeCell ref="A14:K14"/>
    <mergeCell ref="A9:K9"/>
    <mergeCell ref="A29:K29"/>
    <mergeCell ref="A35:K35"/>
    <mergeCell ref="B27:D27"/>
    <mergeCell ref="B32:F32"/>
    <mergeCell ref="B31:F31"/>
    <mergeCell ref="H31:I31"/>
    <mergeCell ref="H32:I32"/>
    <mergeCell ref="H33:I33"/>
  </mergeCells>
  <conditionalFormatting sqref="G20:G21">
    <cfRule type="expression" dxfId="94" priority="8">
      <formula>#REF!&lt;&gt;"Prescriptive Path"</formula>
    </cfRule>
  </conditionalFormatting>
  <conditionalFormatting sqref="G32">
    <cfRule type="expression" dxfId="93" priority="5">
      <formula>$B32="No evidence required at this submission stage"</formula>
    </cfRule>
    <cfRule type="expression" dxfId="92" priority="6">
      <formula>$B32="/"</formula>
    </cfRule>
  </conditionalFormatting>
  <conditionalFormatting sqref="H32:H33">
    <cfRule type="expression" dxfId="91" priority="3">
      <formula>$B32="No evidence required at this submission stage"</formula>
    </cfRule>
    <cfRule type="expression" dxfId="90" priority="4">
      <formula>$B32="/"</formula>
    </cfRule>
  </conditionalFormatting>
  <conditionalFormatting sqref="G33">
    <cfRule type="expression" dxfId="89" priority="1">
      <formula>$B33="/"</formula>
    </cfRule>
    <cfRule type="expression" dxfId="88" priority="2">
      <formula>$B33="No evidence required at this submission stage"</formula>
    </cfRule>
  </conditionalFormatting>
  <dataValidations count="3">
    <dataValidation type="list" allowBlank="1" showInputMessage="1" showErrorMessage="1" sqref="G20:G21">
      <formula1>"Select,Yes,No"</formula1>
    </dataValidation>
    <dataValidation type="list" allowBlank="1" showInputMessage="1" showErrorMessage="1" sqref="G32">
      <formula1>"Select,Submitted,Not submitted"</formula1>
    </dataValidation>
    <dataValidation type="list" allowBlank="1" showInputMessage="1" showErrorMessage="1" sqref="G33">
      <formula1>Sub_FC</formula1>
    </dataValidation>
  </dataValidations>
  <hyperlinks>
    <hyperlink ref="K3" location="'Man-5 Green Awareness '!B3" tooltip="Man-5" display="Man-5"/>
    <hyperlink ref="J3" location="'Man-3 Commissioning'!B3" tooltip="Man-3" display="Man-3"/>
    <hyperlink ref="J4" location="'Man-4 Maintenance'!B3" tooltip="Man-4" display="Man-4"/>
    <hyperlink ref="J2" location="'Man-2 Construction Stage'!B3" tooltip="Man-2" display="Man-2"/>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84806"/>
  </sheetPr>
  <dimension ref="A1:M247"/>
  <sheetViews>
    <sheetView showRowColHeaders="0" workbookViewId="0">
      <pane ySplit="8" topLeftCell="A9" activePane="bottomLeft" state="frozen"/>
      <selection activeCell="E21" sqref="E21"/>
      <selection pane="bottomLeft" activeCell="A8" sqref="A8"/>
    </sheetView>
  </sheetViews>
  <sheetFormatPr defaultColWidth="0" defaultRowHeight="15" customHeight="1" zeroHeight="1" x14ac:dyDescent="0.25"/>
  <cols>
    <col min="1" max="1" width="5.7109375" style="37" customWidth="1"/>
    <col min="2" max="2" width="18.42578125" style="37" customWidth="1"/>
    <col min="3" max="3" width="16.85546875" style="37" customWidth="1"/>
    <col min="4" max="6" width="18.42578125" style="37" customWidth="1"/>
    <col min="7" max="7" width="18.28515625" style="37" customWidth="1"/>
    <col min="8" max="8" width="19.5703125" style="37" customWidth="1"/>
    <col min="9" max="9" width="19.7109375" style="37" customWidth="1"/>
    <col min="10" max="11" width="9.7109375" style="37" customWidth="1"/>
    <col min="12" max="16384" width="9.140625" style="37" hidden="1"/>
  </cols>
  <sheetData>
    <row r="1" spans="1:12" ht="25.5" customHeight="1" x14ac:dyDescent="0.25">
      <c r="A1" s="2387" t="s">
        <v>445</v>
      </c>
      <c r="B1" s="2387"/>
      <c r="C1" s="2387"/>
      <c r="D1" s="2387"/>
      <c r="E1" s="2387"/>
      <c r="F1" s="2387"/>
      <c r="G1" s="2387"/>
      <c r="H1" s="2387"/>
      <c r="I1" s="2387"/>
      <c r="J1" s="2387"/>
      <c r="K1" s="2387"/>
    </row>
    <row r="2" spans="1:12" ht="15" customHeight="1" x14ac:dyDescent="0.25">
      <c r="A2" s="48"/>
      <c r="B2" s="49"/>
      <c r="C2" s="49"/>
      <c r="D2" s="49"/>
      <c r="E2" s="49"/>
      <c r="F2" s="48"/>
      <c r="G2" s="48"/>
      <c r="H2" s="1694" t="s">
        <v>1726</v>
      </c>
      <c r="I2" s="1694"/>
      <c r="J2" s="789" t="s">
        <v>323</v>
      </c>
      <c r="K2" s="789"/>
    </row>
    <row r="3" spans="1:12" ht="15" customHeight="1" x14ac:dyDescent="0.25">
      <c r="A3" s="48"/>
      <c r="B3" s="49"/>
      <c r="C3" s="49"/>
      <c r="D3" s="49"/>
      <c r="E3" s="49"/>
      <c r="F3" s="48"/>
      <c r="G3" s="48"/>
      <c r="H3" s="1694"/>
      <c r="I3" s="1694"/>
      <c r="J3" s="789" t="s">
        <v>325</v>
      </c>
      <c r="K3" s="789" t="s">
        <v>330</v>
      </c>
    </row>
    <row r="4" spans="1:12" ht="15" customHeight="1" x14ac:dyDescent="0.25">
      <c r="A4" s="48"/>
      <c r="B4" s="49"/>
      <c r="C4" s="49"/>
      <c r="D4" s="49"/>
      <c r="E4" s="49"/>
      <c r="F4" s="48"/>
      <c r="G4" s="48"/>
      <c r="H4" s="1695"/>
      <c r="I4" s="1695"/>
      <c r="J4" s="789" t="s">
        <v>326</v>
      </c>
      <c r="K4" s="789"/>
    </row>
    <row r="5" spans="1:12" ht="21" customHeight="1" x14ac:dyDescent="0.25">
      <c r="A5" s="1704" t="s">
        <v>2851</v>
      </c>
      <c r="B5" s="1705"/>
      <c r="C5" s="1705"/>
      <c r="D5" s="1705"/>
      <c r="E5" s="1705"/>
      <c r="F5" s="1705"/>
      <c r="G5" s="1705"/>
      <c r="H5" s="1705"/>
      <c r="I5" s="1705"/>
      <c r="J5" s="1705"/>
      <c r="K5" s="1706"/>
    </row>
    <row r="6" spans="1:12" ht="21" customHeight="1" x14ac:dyDescent="0.25">
      <c r="A6" s="1707"/>
      <c r="B6" s="1708"/>
      <c r="C6" s="1708"/>
      <c r="D6" s="1708"/>
      <c r="E6" s="1708"/>
      <c r="F6" s="1708"/>
      <c r="G6" s="1708"/>
      <c r="H6" s="1708"/>
      <c r="I6" s="1708"/>
      <c r="J6" s="1708"/>
      <c r="K6" s="1709"/>
    </row>
    <row r="7" spans="1:12" ht="21" customHeight="1" x14ac:dyDescent="0.25">
      <c r="A7" s="1710"/>
      <c r="B7" s="1711"/>
      <c r="C7" s="1711"/>
      <c r="D7" s="1711"/>
      <c r="E7" s="1711"/>
      <c r="F7" s="1711"/>
      <c r="G7" s="1711"/>
      <c r="H7" s="1711"/>
      <c r="I7" s="1711"/>
      <c r="J7" s="1711"/>
      <c r="K7" s="1712"/>
    </row>
    <row r="8" spans="1:12" ht="12" customHeight="1" x14ac:dyDescent="0.25">
      <c r="A8" s="48"/>
      <c r="B8" s="49"/>
      <c r="C8" s="49"/>
      <c r="D8" s="49"/>
      <c r="E8" s="49"/>
      <c r="F8" s="48"/>
      <c r="G8" s="48"/>
      <c r="H8" s="48"/>
      <c r="I8" s="48"/>
      <c r="J8" s="48"/>
      <c r="K8" s="48"/>
    </row>
    <row r="9" spans="1:12" ht="18" customHeight="1" x14ac:dyDescent="0.25">
      <c r="A9" s="2381" t="s">
        <v>95</v>
      </c>
      <c r="B9" s="2381"/>
      <c r="C9" s="2381"/>
      <c r="D9" s="2381"/>
      <c r="E9" s="2381"/>
      <c r="F9" s="2381"/>
      <c r="G9" s="2381"/>
      <c r="H9" s="2381"/>
      <c r="I9" s="2381"/>
      <c r="J9" s="2381"/>
      <c r="K9" s="2381"/>
    </row>
    <row r="10" spans="1:12" ht="12.75" customHeight="1" x14ac:dyDescent="0.25">
      <c r="A10" s="48"/>
      <c r="B10" s="49"/>
      <c r="C10" s="49"/>
      <c r="D10" s="49"/>
      <c r="E10" s="49"/>
      <c r="F10" s="48"/>
      <c r="G10" s="48"/>
      <c r="H10" s="48"/>
      <c r="I10" s="48"/>
      <c r="J10" s="48"/>
      <c r="K10" s="48"/>
    </row>
    <row r="11" spans="1:12" ht="21" customHeight="1" x14ac:dyDescent="0.25">
      <c r="A11" s="48"/>
      <c r="B11" s="2390" t="s">
        <v>96</v>
      </c>
      <c r="C11" s="2391"/>
      <c r="D11" s="2391"/>
      <c r="E11" s="2391"/>
      <c r="F11" s="540" t="s">
        <v>75</v>
      </c>
      <c r="G11" s="540" t="s">
        <v>19</v>
      </c>
      <c r="H11" s="56" t="s">
        <v>151</v>
      </c>
      <c r="I11" s="48"/>
      <c r="J11" s="48"/>
      <c r="K11" s="48"/>
    </row>
    <row r="12" spans="1:12" ht="39" customHeight="1" x14ac:dyDescent="0.25">
      <c r="A12" s="48"/>
      <c r="B12" s="1780" t="s">
        <v>490</v>
      </c>
      <c r="C12" s="2059"/>
      <c r="D12" s="2059"/>
      <c r="E12" s="2060"/>
      <c r="F12" s="182">
        <v>1</v>
      </c>
      <c r="G12" s="182">
        <f>C63</f>
        <v>0</v>
      </c>
      <c r="H12" s="182" t="str">
        <f>C64</f>
        <v>No</v>
      </c>
      <c r="I12" s="48"/>
      <c r="J12" s="48"/>
      <c r="K12" s="48"/>
      <c r="L12" s="37" t="str">
        <f>IF(G12&lt;&gt;0,IF(H12="No","No","Yes"),"Yes")</f>
        <v>Yes</v>
      </c>
    </row>
    <row r="13" spans="1:12" ht="28.5" customHeight="1" x14ac:dyDescent="0.25">
      <c r="A13" s="48"/>
      <c r="B13" s="1780" t="s">
        <v>491</v>
      </c>
      <c r="C13" s="2059" t="s">
        <v>72</v>
      </c>
      <c r="D13" s="2059" t="s">
        <v>72</v>
      </c>
      <c r="E13" s="2060" t="s">
        <v>72</v>
      </c>
      <c r="F13" s="182">
        <v>1</v>
      </c>
      <c r="G13" s="182">
        <f>C87</f>
        <v>0</v>
      </c>
      <c r="H13" s="182" t="str">
        <f>C88</f>
        <v>No</v>
      </c>
      <c r="I13" s="48"/>
      <c r="J13" s="48"/>
      <c r="K13" s="48"/>
      <c r="L13" s="37" t="str">
        <f t="shared" ref="L13:L15" si="0">IF(G13&lt;&gt;0,IF(H13="No","No","Yes"),"Yes")</f>
        <v>Yes</v>
      </c>
    </row>
    <row r="14" spans="1:12" ht="28.5" customHeight="1" x14ac:dyDescent="0.25">
      <c r="A14" s="48"/>
      <c r="B14" s="1780" t="s">
        <v>493</v>
      </c>
      <c r="C14" s="2059" t="s">
        <v>73</v>
      </c>
      <c r="D14" s="2059" t="s">
        <v>73</v>
      </c>
      <c r="E14" s="2060" t="s">
        <v>73</v>
      </c>
      <c r="F14" s="182">
        <v>1</v>
      </c>
      <c r="G14" s="182">
        <f>C126</f>
        <v>0</v>
      </c>
      <c r="H14" s="182" t="str">
        <f>C127</f>
        <v>No</v>
      </c>
      <c r="I14" s="48"/>
      <c r="J14" s="48"/>
      <c r="K14" s="48"/>
      <c r="L14" s="37" t="str">
        <f t="shared" si="0"/>
        <v>Yes</v>
      </c>
    </row>
    <row r="15" spans="1:12" ht="28.5" customHeight="1" x14ac:dyDescent="0.25">
      <c r="A15" s="48"/>
      <c r="B15" s="1780" t="s">
        <v>492</v>
      </c>
      <c r="C15" s="2059" t="s">
        <v>77</v>
      </c>
      <c r="D15" s="2059" t="s">
        <v>77</v>
      </c>
      <c r="E15" s="2060" t="s">
        <v>77</v>
      </c>
      <c r="F15" s="182">
        <v>1</v>
      </c>
      <c r="G15" s="182">
        <f>C167</f>
        <v>0</v>
      </c>
      <c r="H15" s="182" t="str">
        <f>C168</f>
        <v>No</v>
      </c>
      <c r="I15" s="48"/>
      <c r="J15" s="48"/>
      <c r="K15" s="48"/>
      <c r="L15" s="37" t="str">
        <f t="shared" si="0"/>
        <v>Yes</v>
      </c>
    </row>
    <row r="16" spans="1:12" ht="18.75" customHeight="1" x14ac:dyDescent="0.25">
      <c r="A16" s="48"/>
      <c r="B16" s="1713" t="s">
        <v>29</v>
      </c>
      <c r="C16" s="1740"/>
      <c r="D16" s="1740"/>
      <c r="E16" s="1741"/>
      <c r="F16" s="612">
        <v>2</v>
      </c>
      <c r="G16" s="612">
        <f>MIN(2,SUM(G12:G15))</f>
        <v>0</v>
      </c>
      <c r="H16" s="612" t="str">
        <f>IF(COUNTIF(H12:H15,"No")=4,"No",IF(COUNTIF(L12:L15,"Yes")=4,"Yes","No"))</f>
        <v>No</v>
      </c>
      <c r="I16" s="48"/>
      <c r="J16" s="48"/>
      <c r="K16" s="48"/>
    </row>
    <row r="17" spans="1:13" ht="18.75" customHeight="1" x14ac:dyDescent="0.25">
      <c r="A17" s="48"/>
      <c r="B17" s="49"/>
      <c r="C17" s="49"/>
      <c r="D17" s="49"/>
      <c r="E17" s="49"/>
      <c r="F17" s="48"/>
      <c r="G17" s="48"/>
      <c r="H17" s="48"/>
      <c r="I17" s="48"/>
      <c r="J17" s="48"/>
      <c r="K17" s="48"/>
    </row>
    <row r="18" spans="1:13" ht="18" customHeight="1" x14ac:dyDescent="0.25">
      <c r="A18" s="2381" t="s">
        <v>494</v>
      </c>
      <c r="B18" s="2381"/>
      <c r="C18" s="2381"/>
      <c r="D18" s="2381"/>
      <c r="E18" s="2381"/>
      <c r="F18" s="2381"/>
      <c r="G18" s="2381"/>
      <c r="H18" s="2381"/>
      <c r="I18" s="2381"/>
      <c r="J18" s="2381"/>
      <c r="K18" s="2381"/>
    </row>
    <row r="19" spans="1:13" x14ac:dyDescent="0.25">
      <c r="A19" s="48"/>
      <c r="B19" s="49"/>
      <c r="C19" s="49"/>
      <c r="D19" s="49"/>
      <c r="E19" s="49"/>
      <c r="F19" s="48"/>
      <c r="G19" s="48"/>
      <c r="H19" s="48"/>
      <c r="I19" s="48"/>
      <c r="J19" s="48"/>
      <c r="K19" s="48"/>
    </row>
    <row r="20" spans="1:13" ht="16.5" customHeight="1" x14ac:dyDescent="0.25">
      <c r="A20" s="2403" t="s">
        <v>117</v>
      </c>
      <c r="B20" s="2403"/>
      <c r="C20" s="2403"/>
      <c r="D20" s="49"/>
      <c r="E20" s="49"/>
      <c r="F20" s="49"/>
      <c r="G20" s="49"/>
      <c r="H20" s="49"/>
      <c r="I20" s="49"/>
      <c r="J20" s="49"/>
      <c r="K20" s="49"/>
    </row>
    <row r="21" spans="1:13" ht="12" customHeight="1" x14ac:dyDescent="0.25">
      <c r="A21" s="48"/>
      <c r="B21" s="49"/>
      <c r="C21" s="49"/>
      <c r="D21" s="49"/>
      <c r="E21" s="49"/>
      <c r="F21" s="48"/>
      <c r="G21" s="48"/>
      <c r="H21" s="48"/>
      <c r="I21" s="48"/>
      <c r="J21" s="48"/>
      <c r="K21" s="48"/>
    </row>
    <row r="22" spans="1:13" ht="15" customHeight="1" x14ac:dyDescent="0.25">
      <c r="A22" s="48"/>
      <c r="B22" s="2419" t="s">
        <v>2498</v>
      </c>
      <c r="C22" s="2419"/>
      <c r="D22" s="2419"/>
      <c r="E22" s="2419"/>
      <c r="F22" s="2419"/>
      <c r="G22" s="2419"/>
      <c r="H22" s="2419"/>
      <c r="I22" s="2419"/>
      <c r="J22" s="2419"/>
      <c r="K22" s="48"/>
    </row>
    <row r="23" spans="1:13" ht="18" customHeight="1" x14ac:dyDescent="0.25">
      <c r="A23" s="48"/>
      <c r="B23" s="2269"/>
      <c r="C23" s="2269"/>
      <c r="D23" s="2269"/>
      <c r="E23" s="2269"/>
      <c r="F23" s="2269"/>
      <c r="G23" s="2269"/>
      <c r="H23" s="2269"/>
      <c r="I23" s="2269"/>
      <c r="J23" s="2269"/>
      <c r="K23" s="48"/>
    </row>
    <row r="24" spans="1:13" ht="15" customHeight="1" x14ac:dyDescent="0.25">
      <c r="A24" s="48"/>
      <c r="B24" s="671" t="s">
        <v>2499</v>
      </c>
      <c r="C24" s="813"/>
      <c r="D24" s="813"/>
      <c r="E24" s="813"/>
      <c r="F24" s="1079"/>
      <c r="G24" s="813"/>
      <c r="H24" s="813"/>
      <c r="I24" s="813"/>
      <c r="J24" s="813"/>
      <c r="K24" s="48"/>
    </row>
    <row r="25" spans="1:13" ht="15" customHeight="1" x14ac:dyDescent="0.25">
      <c r="A25" s="48"/>
      <c r="B25" s="815"/>
      <c r="C25" s="813"/>
      <c r="D25" s="813"/>
      <c r="E25" s="813"/>
      <c r="F25" s="1079"/>
      <c r="G25" s="813"/>
      <c r="H25" s="813"/>
      <c r="I25" s="813"/>
      <c r="J25" s="813"/>
      <c r="K25" s="48"/>
    </row>
    <row r="26" spans="1:13" x14ac:dyDescent="0.25">
      <c r="A26" s="48"/>
      <c r="B26" s="1145" t="s">
        <v>2280</v>
      </c>
      <c r="C26" s="1225"/>
      <c r="D26" s="1225"/>
      <c r="E26" s="1225"/>
      <c r="F26" s="1079"/>
      <c r="G26" s="1225"/>
      <c r="H26" s="1225"/>
      <c r="I26" s="1225"/>
      <c r="J26" s="1225"/>
      <c r="K26" s="48"/>
    </row>
    <row r="27" spans="1:13" x14ac:dyDescent="0.25">
      <c r="A27" s="48"/>
      <c r="B27" s="815"/>
      <c r="C27" s="1225"/>
      <c r="D27" s="1225"/>
      <c r="E27" s="1225"/>
      <c r="F27" s="1079"/>
      <c r="G27" s="1225"/>
      <c r="H27" s="1225"/>
      <c r="I27" s="1225"/>
      <c r="J27" s="1225"/>
      <c r="K27" s="48"/>
    </row>
    <row r="28" spans="1:13" ht="16.5" customHeight="1" x14ac:dyDescent="0.25">
      <c r="A28" s="48"/>
      <c r="B28" s="509" t="s">
        <v>2281</v>
      </c>
      <c r="C28" s="121"/>
      <c r="D28" s="121"/>
      <c r="E28" s="121"/>
      <c r="F28" s="121"/>
      <c r="G28" s="121"/>
      <c r="H28" s="121"/>
      <c r="I28" s="121"/>
      <c r="J28" s="48"/>
      <c r="K28" s="48"/>
    </row>
    <row r="29" spans="1:13" ht="18" customHeight="1" x14ac:dyDescent="0.25">
      <c r="A29" s="48"/>
      <c r="B29" s="2420" t="str">
        <f>IF('Project information'!$C$7="Full Certification stage","Measures implemented","Measures to implement")</f>
        <v>Measures to implement</v>
      </c>
      <c r="C29" s="2421"/>
      <c r="D29" s="2421"/>
      <c r="E29" s="1229" t="s">
        <v>1272</v>
      </c>
      <c r="F29" s="2421" t="s">
        <v>1273</v>
      </c>
      <c r="G29" s="2421"/>
      <c r="H29" s="2422"/>
      <c r="I29" s="48"/>
      <c r="J29" s="48"/>
      <c r="K29" s="48"/>
    </row>
    <row r="30" spans="1:13" ht="39" customHeight="1" x14ac:dyDescent="0.25">
      <c r="A30" s="48"/>
      <c r="B30" s="1648"/>
      <c r="C30" s="1648"/>
      <c r="D30" s="1648"/>
      <c r="E30" s="1224" t="s">
        <v>62</v>
      </c>
      <c r="F30" s="2423"/>
      <c r="G30" s="2423"/>
      <c r="H30" s="2423"/>
      <c r="I30" s="1225"/>
      <c r="J30" s="48"/>
      <c r="K30" s="48"/>
      <c r="L30" s="37" t="str">
        <f>IF(AND(B30&lt;&gt;"",E30="Yes",F30&lt;&gt;""),"Yes","No")</f>
        <v>No</v>
      </c>
    </row>
    <row r="31" spans="1:13" ht="39" customHeight="1" x14ac:dyDescent="0.25">
      <c r="A31" s="48"/>
      <c r="B31" s="1648"/>
      <c r="C31" s="1648"/>
      <c r="D31" s="1648"/>
      <c r="E31" s="1273" t="s">
        <v>62</v>
      </c>
      <c r="F31" s="2423"/>
      <c r="G31" s="2423"/>
      <c r="H31" s="2423"/>
      <c r="I31" s="1225"/>
      <c r="J31" s="48"/>
      <c r="K31" s="48"/>
      <c r="L31" s="37" t="str">
        <f>IF(AND(B31&lt;&gt;"",E31="Yes",F31&lt;&gt;""),"Yes","No")</f>
        <v>No</v>
      </c>
      <c r="M31" s="37" t="str">
        <f>IF(OR(L30="Yes",L31="Yes"),"Yes","No")</f>
        <v>No</v>
      </c>
    </row>
    <row r="32" spans="1:13" x14ac:dyDescent="0.25">
      <c r="A32" s="48"/>
      <c r="B32" s="49"/>
      <c r="C32" s="49"/>
      <c r="D32" s="49"/>
      <c r="E32" s="49"/>
      <c r="F32" s="48"/>
      <c r="G32" s="48"/>
      <c r="H32" s="48"/>
      <c r="I32" s="48"/>
      <c r="J32" s="48"/>
      <c r="K32" s="48"/>
    </row>
    <row r="33" spans="1:13" ht="16.5" customHeight="1" x14ac:dyDescent="0.25">
      <c r="A33" s="48"/>
      <c r="B33" s="509" t="s">
        <v>2282</v>
      </c>
      <c r="C33" s="509"/>
      <c r="D33" s="509"/>
      <c r="E33" s="509"/>
      <c r="F33" s="509"/>
      <c r="G33" s="509"/>
      <c r="H33" s="509"/>
      <c r="I33" s="509"/>
      <c r="J33" s="48"/>
      <c r="K33" s="48"/>
    </row>
    <row r="34" spans="1:13" ht="16.5" customHeight="1" x14ac:dyDescent="0.25">
      <c r="A34" s="48"/>
      <c r="B34" s="2420" t="str">
        <f>IF('Project information'!$C$7="Full Certification stage","Measures implemented","Measures to implement")</f>
        <v>Measures to implement</v>
      </c>
      <c r="C34" s="2421"/>
      <c r="D34" s="2421"/>
      <c r="E34" s="1229" t="s">
        <v>1272</v>
      </c>
      <c r="F34" s="2421" t="s">
        <v>1273</v>
      </c>
      <c r="G34" s="2421"/>
      <c r="H34" s="2422"/>
      <c r="I34" s="509"/>
      <c r="J34" s="48"/>
      <c r="K34" s="48"/>
    </row>
    <row r="35" spans="1:13" ht="39" customHeight="1" x14ac:dyDescent="0.25">
      <c r="A35" s="48"/>
      <c r="B35" s="1648"/>
      <c r="C35" s="1648"/>
      <c r="D35" s="1648"/>
      <c r="E35" s="1273" t="s">
        <v>62</v>
      </c>
      <c r="F35" s="2423"/>
      <c r="G35" s="2423"/>
      <c r="H35" s="2423"/>
      <c r="I35" s="48"/>
      <c r="J35" s="48"/>
      <c r="K35" s="48"/>
      <c r="L35" s="37" t="str">
        <f>IF(AND(B35&lt;&gt;"",E35="Yes",F35&lt;&gt;""),"Yes","No")</f>
        <v>No</v>
      </c>
    </row>
    <row r="36" spans="1:13" ht="39" customHeight="1" x14ac:dyDescent="0.25">
      <c r="A36" s="48"/>
      <c r="B36" s="1648"/>
      <c r="C36" s="1648"/>
      <c r="D36" s="1648"/>
      <c r="E36" s="1273" t="s">
        <v>62</v>
      </c>
      <c r="F36" s="2423"/>
      <c r="G36" s="2423"/>
      <c r="H36" s="2423"/>
      <c r="I36" s="48"/>
      <c r="J36" s="48"/>
      <c r="K36" s="48"/>
      <c r="L36" s="37" t="str">
        <f>IF(AND(B36&lt;&gt;"",E36="Yes",F36&lt;&gt;""),"Yes","No")</f>
        <v>No</v>
      </c>
      <c r="M36" s="37" t="str">
        <f>IF(OR(L35="Yes",L36="Yes"),"Yes","No")</f>
        <v>No</v>
      </c>
    </row>
    <row r="37" spans="1:13" x14ac:dyDescent="0.25">
      <c r="A37" s="48"/>
      <c r="B37" s="48"/>
      <c r="C37" s="48"/>
      <c r="D37" s="48"/>
      <c r="E37" s="48"/>
      <c r="F37" s="48"/>
      <c r="G37" s="48"/>
      <c r="H37" s="48"/>
      <c r="I37" s="48"/>
      <c r="J37" s="48"/>
      <c r="K37" s="48"/>
    </row>
    <row r="38" spans="1:13" ht="15" customHeight="1" x14ac:dyDescent="0.25">
      <c r="A38" s="48"/>
      <c r="B38" s="509" t="s">
        <v>2283</v>
      </c>
      <c r="C38" s="509"/>
      <c r="D38" s="509"/>
      <c r="E38" s="509"/>
      <c r="F38" s="509"/>
      <c r="G38" s="509"/>
      <c r="H38" s="509"/>
      <c r="I38" s="509"/>
      <c r="J38" s="48"/>
      <c r="K38" s="48"/>
    </row>
    <row r="39" spans="1:13" ht="18" customHeight="1" x14ac:dyDescent="0.25">
      <c r="A39" s="48"/>
      <c r="B39" s="2420" t="str">
        <f>IF('Project information'!$C$7="Full Certification stage","Measures implemented","Measures to implement")</f>
        <v>Measures to implement</v>
      </c>
      <c r="C39" s="2421"/>
      <c r="D39" s="2421"/>
      <c r="E39" s="1229" t="s">
        <v>1272</v>
      </c>
      <c r="F39" s="2421" t="s">
        <v>1273</v>
      </c>
      <c r="G39" s="2421"/>
      <c r="H39" s="2422"/>
      <c r="I39" s="509"/>
      <c r="J39" s="48"/>
      <c r="K39" s="48"/>
    </row>
    <row r="40" spans="1:13" ht="39" customHeight="1" x14ac:dyDescent="0.25">
      <c r="A40" s="48"/>
      <c r="B40" s="1648"/>
      <c r="C40" s="1648"/>
      <c r="D40" s="1648"/>
      <c r="E40" s="1273" t="s">
        <v>62</v>
      </c>
      <c r="F40" s="2423"/>
      <c r="G40" s="2423"/>
      <c r="H40" s="2423"/>
      <c r="I40" s="509"/>
      <c r="J40" s="48"/>
      <c r="K40" s="48"/>
      <c r="L40" s="37" t="str">
        <f>IF(AND(B40&lt;&gt;"",E40="Yes",F40&lt;&gt;""),"Yes","No")</f>
        <v>No</v>
      </c>
    </row>
    <row r="41" spans="1:13" ht="39" customHeight="1" x14ac:dyDescent="0.25">
      <c r="A41" s="48"/>
      <c r="B41" s="1648"/>
      <c r="C41" s="1648"/>
      <c r="D41" s="1648"/>
      <c r="E41" s="1273" t="s">
        <v>62</v>
      </c>
      <c r="F41" s="2423"/>
      <c r="G41" s="2423"/>
      <c r="H41" s="2423"/>
      <c r="I41" s="509"/>
      <c r="J41" s="48"/>
      <c r="K41" s="48"/>
      <c r="L41" s="37" t="str">
        <f>IF(AND(B41&lt;&gt;"",E41="Yes",F41&lt;&gt;""),"Yes","No")</f>
        <v>No</v>
      </c>
      <c r="M41" s="37" t="str">
        <f>IF(OR(L40="Yes",L41="Yes"),"Yes","No")</f>
        <v>No</v>
      </c>
    </row>
    <row r="42" spans="1:13" x14ac:dyDescent="0.25">
      <c r="A42" s="48"/>
      <c r="B42" s="48"/>
      <c r="C42" s="48"/>
      <c r="D42" s="48"/>
      <c r="E42" s="48"/>
      <c r="F42" s="48"/>
      <c r="G42" s="48"/>
      <c r="H42" s="48"/>
      <c r="I42" s="48"/>
      <c r="J42" s="48"/>
      <c r="K42" s="48"/>
    </row>
    <row r="43" spans="1:13" ht="15" customHeight="1" x14ac:dyDescent="0.25">
      <c r="A43" s="48"/>
      <c r="B43" s="509" t="s">
        <v>2284</v>
      </c>
      <c r="C43" s="509"/>
      <c r="D43" s="509"/>
      <c r="E43" s="509"/>
      <c r="F43" s="509"/>
      <c r="G43" s="509"/>
      <c r="H43" s="509"/>
      <c r="I43" s="509"/>
      <c r="J43" s="48"/>
      <c r="K43" s="48"/>
    </row>
    <row r="44" spans="1:13" ht="18" customHeight="1" x14ac:dyDescent="0.25">
      <c r="A44" s="48"/>
      <c r="B44" s="2420" t="str">
        <f>IF('Project information'!$C$7="Full Certification stage","Measures implemented","Measures to implement")</f>
        <v>Measures to implement</v>
      </c>
      <c r="C44" s="2421"/>
      <c r="D44" s="2421"/>
      <c r="E44" s="1229" t="s">
        <v>1272</v>
      </c>
      <c r="F44" s="2421" t="s">
        <v>1273</v>
      </c>
      <c r="G44" s="2421"/>
      <c r="H44" s="2422"/>
      <c r="I44" s="509"/>
      <c r="J44" s="48"/>
      <c r="K44" s="48"/>
    </row>
    <row r="45" spans="1:13" ht="39" customHeight="1" x14ac:dyDescent="0.25">
      <c r="A45" s="48"/>
      <c r="B45" s="1648"/>
      <c r="C45" s="1648"/>
      <c r="D45" s="1648"/>
      <c r="E45" s="1273" t="s">
        <v>62</v>
      </c>
      <c r="F45" s="2423"/>
      <c r="G45" s="2423"/>
      <c r="H45" s="2423"/>
      <c r="I45" s="509"/>
      <c r="J45" s="48"/>
      <c r="K45" s="48"/>
      <c r="L45" s="37" t="str">
        <f>IF(AND(B45&lt;&gt;"",E45="Yes",F45&lt;&gt;""),"Yes","No")</f>
        <v>No</v>
      </c>
    </row>
    <row r="46" spans="1:13" ht="39" customHeight="1" x14ac:dyDescent="0.25">
      <c r="A46" s="48"/>
      <c r="B46" s="1648"/>
      <c r="C46" s="1648"/>
      <c r="D46" s="1648"/>
      <c r="E46" s="1273" t="s">
        <v>62</v>
      </c>
      <c r="F46" s="2423"/>
      <c r="G46" s="2423"/>
      <c r="H46" s="2423"/>
      <c r="I46" s="509"/>
      <c r="J46" s="48"/>
      <c r="K46" s="48"/>
      <c r="L46" s="37" t="str">
        <f>IF(AND(B46&lt;&gt;"",E46="Yes",F46&lt;&gt;""),"Yes","No")</f>
        <v>No</v>
      </c>
      <c r="M46" s="37" t="str">
        <f>IF(OR(L45="Yes",L46="Yes"),"Yes","No")</f>
        <v>No</v>
      </c>
    </row>
    <row r="47" spans="1:13" x14ac:dyDescent="0.25">
      <c r="A47" s="48"/>
      <c r="B47" s="48"/>
      <c r="C47" s="48"/>
      <c r="D47" s="48"/>
      <c r="E47" s="48"/>
      <c r="F47" s="48"/>
      <c r="G47" s="48"/>
      <c r="H47" s="48"/>
      <c r="I47" s="48"/>
      <c r="J47" s="48"/>
      <c r="K47" s="48"/>
    </row>
    <row r="48" spans="1:13" ht="15" customHeight="1" x14ac:dyDescent="0.25">
      <c r="A48" s="48"/>
      <c r="B48" s="509" t="s">
        <v>2285</v>
      </c>
      <c r="C48" s="509"/>
      <c r="D48" s="509"/>
      <c r="E48" s="509"/>
      <c r="F48" s="509"/>
      <c r="G48" s="509"/>
      <c r="H48" s="509"/>
      <c r="I48" s="509"/>
      <c r="J48" s="48"/>
      <c r="K48" s="48"/>
    </row>
    <row r="49" spans="1:13" ht="18" customHeight="1" x14ac:dyDescent="0.25">
      <c r="A49" s="48"/>
      <c r="B49" s="2420" t="str">
        <f>IF('Project information'!$C$7="Full Certification stage","Measures implemented","Measures to implement")</f>
        <v>Measures to implement</v>
      </c>
      <c r="C49" s="2421"/>
      <c r="D49" s="2421"/>
      <c r="E49" s="1229" t="s">
        <v>1272</v>
      </c>
      <c r="F49" s="2421" t="s">
        <v>1273</v>
      </c>
      <c r="G49" s="2421"/>
      <c r="H49" s="2422"/>
      <c r="I49" s="509"/>
      <c r="J49" s="48"/>
      <c r="K49" s="48"/>
    </row>
    <row r="50" spans="1:13" ht="39" customHeight="1" x14ac:dyDescent="0.25">
      <c r="A50" s="48"/>
      <c r="B50" s="1648"/>
      <c r="C50" s="1648"/>
      <c r="D50" s="1648"/>
      <c r="E50" s="1273" t="s">
        <v>62</v>
      </c>
      <c r="F50" s="2423"/>
      <c r="G50" s="2423"/>
      <c r="H50" s="2423"/>
      <c r="I50" s="509"/>
      <c r="J50" s="48"/>
      <c r="K50" s="48"/>
      <c r="L50" s="37" t="str">
        <f>IF(AND(B50&lt;&gt;"",E50="Yes",F50&lt;&gt;""),"Yes","No")</f>
        <v>No</v>
      </c>
    </row>
    <row r="51" spans="1:13" ht="39" customHeight="1" x14ac:dyDescent="0.25">
      <c r="A51" s="48"/>
      <c r="B51" s="1648"/>
      <c r="C51" s="1648"/>
      <c r="D51" s="1648"/>
      <c r="E51" s="1273" t="s">
        <v>62</v>
      </c>
      <c r="F51" s="2423"/>
      <c r="G51" s="2423"/>
      <c r="H51" s="2423"/>
      <c r="I51" s="509"/>
      <c r="J51" s="48"/>
      <c r="K51" s="48"/>
      <c r="L51" s="37" t="str">
        <f>IF(AND(B51&lt;&gt;"",E51="Yes",F51&lt;&gt;""),"Yes","No")</f>
        <v>No</v>
      </c>
      <c r="M51" s="37" t="str">
        <f>IF(OR(L50="Yes",L51="Yes"),"Yes","No")</f>
        <v>No</v>
      </c>
    </row>
    <row r="52" spans="1:13" x14ac:dyDescent="0.25">
      <c r="A52" s="48"/>
      <c r="B52" s="48"/>
      <c r="C52" s="48"/>
      <c r="D52" s="48"/>
      <c r="E52" s="48"/>
      <c r="F52" s="48"/>
      <c r="G52" s="48"/>
      <c r="H52" s="48"/>
      <c r="I52" s="48"/>
      <c r="J52" s="48"/>
      <c r="K52" s="48"/>
    </row>
    <row r="53" spans="1:13" ht="18.75" customHeight="1" x14ac:dyDescent="0.25">
      <c r="A53" s="48"/>
      <c r="B53" s="2413" t="s">
        <v>1972</v>
      </c>
      <c r="C53" s="2413"/>
      <c r="D53" s="2413"/>
      <c r="E53" s="157" t="str">
        <f>IF(COUNTIF(M31:M51,"Yes")&gt;=4,"Yes","No")</f>
        <v>No</v>
      </c>
      <c r="F53" s="48"/>
      <c r="G53" s="48"/>
      <c r="H53" s="48"/>
      <c r="I53" s="48"/>
      <c r="J53" s="48"/>
      <c r="K53" s="48"/>
    </row>
    <row r="54" spans="1:13" ht="20.25" customHeight="1" x14ac:dyDescent="0.25">
      <c r="A54" s="48"/>
      <c r="B54" s="48"/>
      <c r="C54" s="48"/>
      <c r="D54" s="48"/>
      <c r="E54" s="48"/>
      <c r="F54" s="48"/>
      <c r="G54" s="48"/>
      <c r="H54" s="48"/>
      <c r="I54" s="48"/>
      <c r="J54" s="48"/>
      <c r="K54" s="48"/>
    </row>
    <row r="55" spans="1:13" ht="16.5" customHeight="1" x14ac:dyDescent="0.25">
      <c r="A55" s="2403" t="s">
        <v>97</v>
      </c>
      <c r="B55" s="2403"/>
      <c r="C55" s="2403"/>
      <c r="D55" s="49"/>
      <c r="E55" s="49"/>
      <c r="F55" s="49"/>
      <c r="G55" s="49"/>
      <c r="H55" s="49"/>
      <c r="I55" s="49"/>
      <c r="J55" s="49"/>
      <c r="K55" s="49"/>
    </row>
    <row r="56" spans="1:13" x14ac:dyDescent="0.25">
      <c r="A56" s="48"/>
      <c r="B56" s="49"/>
      <c r="C56" s="49"/>
      <c r="D56" s="49"/>
      <c r="E56" s="48"/>
      <c r="F56" s="48"/>
      <c r="G56" s="48"/>
      <c r="H56" s="48"/>
      <c r="I56" s="48"/>
      <c r="J56" s="48"/>
      <c r="K56" s="48"/>
    </row>
    <row r="57" spans="1:13" ht="21" customHeight="1" x14ac:dyDescent="0.25">
      <c r="A57" s="48"/>
      <c r="B57" s="2383" t="s">
        <v>98</v>
      </c>
      <c r="C57" s="2384"/>
      <c r="D57" s="2384"/>
      <c r="E57" s="2384"/>
      <c r="F57" s="2384"/>
      <c r="G57" s="830" t="s">
        <v>1297</v>
      </c>
      <c r="H57" s="2385" t="s">
        <v>1298</v>
      </c>
      <c r="I57" s="2386"/>
      <c r="J57" s="48"/>
      <c r="K57" s="48"/>
    </row>
    <row r="58" spans="1:13" ht="30" customHeight="1" x14ac:dyDescent="0.25">
      <c r="A58" s="48"/>
      <c r="B58" s="2042" t="str">
        <f>Submittals!H170</f>
        <v>Select the Submission Stage in Project Information</v>
      </c>
      <c r="C58" s="2043"/>
      <c r="D58" s="2043"/>
      <c r="E58" s="2043"/>
      <c r="F58" s="2044"/>
      <c r="G58" s="828" t="s">
        <v>62</v>
      </c>
      <c r="H58" s="1625"/>
      <c r="I58" s="1626"/>
      <c r="J58" s="48"/>
      <c r="K58" s="48"/>
      <c r="L58" s="37" t="str">
        <f>IF(OR(B58="/",B58="No evidence required at this submission stage"),"Yes",IF(G58="Submitted","Yes","No"))</f>
        <v>No</v>
      </c>
    </row>
    <row r="59" spans="1:13" ht="27" hidden="1" customHeight="1" x14ac:dyDescent="0.25">
      <c r="A59" s="48"/>
      <c r="B59" s="2042" t="str">
        <f>Submittals!H171</f>
        <v>Select the Submission Stage in Project Information</v>
      </c>
      <c r="C59" s="2043"/>
      <c r="D59" s="2043"/>
      <c r="E59" s="2043"/>
      <c r="F59" s="2044"/>
      <c r="G59" s="828" t="s">
        <v>62</v>
      </c>
      <c r="H59" s="1684"/>
      <c r="I59" s="2239"/>
      <c r="J59" s="48"/>
      <c r="K59" s="48"/>
      <c r="L59" s="37" t="str">
        <f>IF(OR(B59="/",B59="No evidence required at this submission stage"),"Yes",IF(G59="Submitted","Yes","No"))</f>
        <v>No</v>
      </c>
    </row>
    <row r="60" spans="1:13" ht="19.5" customHeight="1" x14ac:dyDescent="0.25">
      <c r="A60" s="48"/>
      <c r="B60" s="49"/>
      <c r="C60" s="49"/>
      <c r="D60" s="49"/>
      <c r="E60" s="48"/>
      <c r="F60" s="48"/>
      <c r="G60" s="48"/>
      <c r="H60" s="48"/>
      <c r="I60" s="48"/>
      <c r="J60" s="48"/>
      <c r="K60" s="48"/>
    </row>
    <row r="61" spans="1:13" ht="16.5" customHeight="1" x14ac:dyDescent="0.25">
      <c r="A61" s="2403" t="s">
        <v>8</v>
      </c>
      <c r="B61" s="2403"/>
      <c r="C61" s="2403"/>
      <c r="D61" s="49"/>
      <c r="E61" s="49"/>
      <c r="F61" s="49"/>
      <c r="G61" s="49"/>
      <c r="H61" s="49"/>
      <c r="I61" s="49"/>
      <c r="J61" s="49"/>
      <c r="K61" s="49"/>
    </row>
    <row r="62" spans="1:13" ht="16.5" customHeight="1" x14ac:dyDescent="0.25">
      <c r="A62" s="48"/>
      <c r="B62" s="49"/>
      <c r="C62" s="49"/>
      <c r="D62" s="49"/>
      <c r="E62" s="49"/>
      <c r="F62" s="48"/>
      <c r="G62" s="48"/>
      <c r="H62" s="48"/>
      <c r="I62" s="48"/>
      <c r="J62" s="48"/>
      <c r="K62" s="48"/>
    </row>
    <row r="63" spans="1:13" ht="18" customHeight="1" x14ac:dyDescent="0.25">
      <c r="A63" s="48"/>
      <c r="B63" s="171" t="s">
        <v>19</v>
      </c>
      <c r="C63" s="8">
        <f>IF(E53="Yes",1,0)</f>
        <v>0</v>
      </c>
      <c r="D63" s="49"/>
      <c r="E63" s="48"/>
      <c r="F63" s="48"/>
      <c r="G63" s="48"/>
      <c r="H63" s="48"/>
      <c r="I63" s="48"/>
      <c r="J63" s="48"/>
      <c r="K63" s="48"/>
    </row>
    <row r="64" spans="1:13" ht="18" customHeight="1" x14ac:dyDescent="0.25">
      <c r="A64" s="48"/>
      <c r="B64" s="171" t="s">
        <v>151</v>
      </c>
      <c r="C64" s="116" t="str">
        <f>IF(AND(COUNTIF(L58:L59,"Yes")=2,C63&gt;0),"Yes","No")</f>
        <v>No</v>
      </c>
      <c r="D64" s="49"/>
      <c r="E64" s="49"/>
      <c r="F64" s="48"/>
      <c r="G64" s="48"/>
      <c r="H64" s="48"/>
      <c r="I64" s="48"/>
      <c r="J64" s="48"/>
      <c r="K64" s="48"/>
    </row>
    <row r="65" spans="1:11" ht="21" customHeight="1" x14ac:dyDescent="0.25">
      <c r="A65" s="48"/>
      <c r="B65" s="49"/>
      <c r="C65" s="49"/>
      <c r="D65" s="49"/>
      <c r="E65" s="49"/>
      <c r="F65" s="48"/>
      <c r="G65" s="48"/>
      <c r="H65" s="48"/>
      <c r="I65" s="48"/>
      <c r="J65" s="48"/>
      <c r="K65" s="48"/>
    </row>
    <row r="66" spans="1:11" ht="18" customHeight="1" x14ac:dyDescent="0.25">
      <c r="A66" s="2381" t="s">
        <v>495</v>
      </c>
      <c r="B66" s="2381"/>
      <c r="C66" s="2381"/>
      <c r="D66" s="2381"/>
      <c r="E66" s="2381"/>
      <c r="F66" s="2381"/>
      <c r="G66" s="2381"/>
      <c r="H66" s="2381"/>
      <c r="I66" s="2381"/>
      <c r="J66" s="2381"/>
      <c r="K66" s="2381"/>
    </row>
    <row r="67" spans="1:11" x14ac:dyDescent="0.25">
      <c r="A67" s="49"/>
      <c r="B67" s="49"/>
      <c r="C67" s="49"/>
      <c r="D67" s="49"/>
      <c r="E67" s="49"/>
      <c r="F67" s="48"/>
      <c r="G67" s="48"/>
      <c r="H67" s="48"/>
      <c r="I67" s="48"/>
      <c r="J67" s="48"/>
      <c r="K67" s="48"/>
    </row>
    <row r="68" spans="1:11" ht="16.5" customHeight="1" x14ac:dyDescent="0.25">
      <c r="A68" s="2403" t="s">
        <v>117</v>
      </c>
      <c r="B68" s="2403"/>
      <c r="C68" s="2403"/>
      <c r="D68" s="49"/>
      <c r="E68" s="49"/>
      <c r="F68" s="49"/>
      <c r="G68" s="49"/>
      <c r="H68" s="49"/>
      <c r="I68" s="49"/>
      <c r="J68" s="49"/>
      <c r="K68" s="49"/>
    </row>
    <row r="69" spans="1:11" ht="12" customHeight="1" x14ac:dyDescent="0.25">
      <c r="A69" s="48"/>
      <c r="B69" s="49"/>
      <c r="C69" s="49"/>
      <c r="D69" s="49"/>
      <c r="E69" s="49"/>
      <c r="F69" s="48"/>
      <c r="G69" s="48"/>
      <c r="H69" s="48"/>
      <c r="I69" s="48"/>
      <c r="J69" s="48"/>
      <c r="K69" s="48"/>
    </row>
    <row r="70" spans="1:11" ht="15" customHeight="1" x14ac:dyDescent="0.25">
      <c r="A70" s="48"/>
      <c r="B70" s="2419" t="s">
        <v>497</v>
      </c>
      <c r="C70" s="2419"/>
      <c r="D70" s="2419"/>
      <c r="E70" s="2419"/>
      <c r="F70" s="2419"/>
      <c r="G70" s="2419"/>
      <c r="H70" s="2419"/>
      <c r="I70" s="2419"/>
      <c r="J70" s="2419"/>
      <c r="K70" s="48"/>
    </row>
    <row r="71" spans="1:11" ht="18" customHeight="1" x14ac:dyDescent="0.25">
      <c r="A71" s="48"/>
      <c r="B71" s="363"/>
      <c r="C71" s="363"/>
      <c r="D71" s="363"/>
      <c r="E71" s="363"/>
      <c r="F71" s="363"/>
      <c r="G71" s="363"/>
      <c r="H71" s="363"/>
      <c r="I71" s="363"/>
      <c r="J71" s="363"/>
      <c r="K71" s="48"/>
    </row>
    <row r="72" spans="1:11" ht="15" customHeight="1" x14ac:dyDescent="0.25">
      <c r="A72" s="48"/>
      <c r="B72" s="671" t="s">
        <v>1353</v>
      </c>
      <c r="C72" s="815"/>
      <c r="D72" s="815"/>
      <c r="E72" s="815"/>
      <c r="F72" s="815"/>
      <c r="G72" s="815"/>
      <c r="H72" s="815"/>
      <c r="I72" s="815"/>
      <c r="J72" s="815"/>
      <c r="K72" s="48"/>
    </row>
    <row r="73" spans="1:11" ht="11.25" customHeight="1" x14ac:dyDescent="0.25">
      <c r="A73" s="48"/>
      <c r="B73" s="815"/>
      <c r="C73" s="815"/>
      <c r="D73" s="815"/>
      <c r="E73" s="815"/>
      <c r="F73" s="815"/>
      <c r="G73" s="815"/>
      <c r="H73" s="815"/>
      <c r="I73" s="815"/>
      <c r="J73" s="815"/>
      <c r="K73" s="48"/>
    </row>
    <row r="74" spans="1:11" ht="18.75" customHeight="1" x14ac:dyDescent="0.25">
      <c r="A74" s="48"/>
      <c r="B74" s="1644" t="str">
        <f>IF('Project information'!$C$7="Full Certification stage","• Did the main contractor have a valid ISO14001 accreditation?","• Will the main contractor have a valid ISO14001 accreditation?")</f>
        <v>• Will the main contractor have a valid ISO14001 accreditation?</v>
      </c>
      <c r="C74" s="1645"/>
      <c r="D74" s="1645"/>
      <c r="E74" s="1646"/>
      <c r="F74" s="809" t="s">
        <v>62</v>
      </c>
      <c r="G74" s="815"/>
      <c r="H74" s="815"/>
      <c r="I74" s="815"/>
      <c r="J74" s="815"/>
      <c r="K74" s="48"/>
    </row>
    <row r="75" spans="1:11" ht="15" customHeight="1" x14ac:dyDescent="0.25">
      <c r="A75" s="48"/>
      <c r="B75" s="815"/>
      <c r="C75" s="815"/>
      <c r="D75" s="815"/>
      <c r="E75" s="815"/>
      <c r="F75" s="815"/>
      <c r="G75" s="815"/>
      <c r="H75" s="815"/>
      <c r="I75" s="815"/>
      <c r="J75" s="815"/>
      <c r="K75" s="48"/>
    </row>
    <row r="76" spans="1:11" ht="18" customHeight="1" x14ac:dyDescent="0.25">
      <c r="A76" s="48"/>
      <c r="B76" s="2388" t="s">
        <v>1354</v>
      </c>
      <c r="C76" s="2429"/>
      <c r="D76" s="2417"/>
      <c r="E76" s="2418"/>
      <c r="F76" s="363"/>
      <c r="G76" s="363"/>
      <c r="H76" s="363"/>
      <c r="I76" s="363"/>
      <c r="J76" s="363"/>
      <c r="K76" s="48"/>
    </row>
    <row r="77" spans="1:11" ht="18.75" customHeight="1" x14ac:dyDescent="0.25">
      <c r="A77" s="48"/>
      <c r="B77" s="48"/>
      <c r="C77" s="48"/>
      <c r="D77" s="48"/>
      <c r="E77" s="48"/>
      <c r="F77" s="48"/>
      <c r="G77" s="48"/>
      <c r="H77" s="48"/>
      <c r="I77" s="48"/>
      <c r="J77" s="48"/>
      <c r="K77" s="48"/>
    </row>
    <row r="78" spans="1:11" ht="20.25" customHeight="1" x14ac:dyDescent="0.25">
      <c r="A78" s="48"/>
      <c r="B78" s="2413" t="s">
        <v>496</v>
      </c>
      <c r="C78" s="2413"/>
      <c r="D78" s="2413"/>
      <c r="E78" s="157" t="str">
        <f>IF(AND(F74="Yes",D76&lt;&gt;""),"Yes","No")</f>
        <v>No</v>
      </c>
      <c r="F78" s="48"/>
      <c r="G78" s="48"/>
      <c r="H78" s="48"/>
      <c r="I78" s="48"/>
      <c r="J78" s="48"/>
      <c r="K78" s="48"/>
    </row>
    <row r="79" spans="1:11" ht="19.5" customHeight="1" x14ac:dyDescent="0.25">
      <c r="A79" s="48"/>
      <c r="B79" s="49"/>
      <c r="C79" s="49"/>
      <c r="D79" s="49"/>
      <c r="E79" s="48"/>
      <c r="F79" s="48"/>
      <c r="G79" s="48"/>
      <c r="H79" s="48"/>
      <c r="I79" s="48"/>
      <c r="J79" s="48"/>
      <c r="K79" s="48"/>
    </row>
    <row r="80" spans="1:11" ht="16.5" customHeight="1" x14ac:dyDescent="0.25">
      <c r="A80" s="2403" t="s">
        <v>97</v>
      </c>
      <c r="B80" s="2403"/>
      <c r="C80" s="2403"/>
      <c r="D80" s="49"/>
      <c r="E80" s="49"/>
      <c r="F80" s="49"/>
      <c r="G80" s="49"/>
      <c r="H80" s="49"/>
      <c r="I80" s="49"/>
      <c r="J80" s="49"/>
      <c r="K80" s="49"/>
    </row>
    <row r="81" spans="1:12" x14ac:dyDescent="0.25">
      <c r="A81" s="48"/>
      <c r="B81" s="49"/>
      <c r="C81" s="49"/>
      <c r="D81" s="49"/>
      <c r="E81" s="48"/>
      <c r="F81" s="48"/>
      <c r="G81" s="48"/>
      <c r="H81" s="48"/>
      <c r="I81" s="48"/>
      <c r="J81" s="48"/>
      <c r="K81" s="48"/>
    </row>
    <row r="82" spans="1:12" ht="21" customHeight="1" x14ac:dyDescent="0.25">
      <c r="A82" s="48"/>
      <c r="B82" s="2383" t="s">
        <v>98</v>
      </c>
      <c r="C82" s="2384"/>
      <c r="D82" s="2384"/>
      <c r="E82" s="2384"/>
      <c r="F82" s="2384"/>
      <c r="G82" s="830" t="s">
        <v>1297</v>
      </c>
      <c r="H82" s="2385" t="s">
        <v>1298</v>
      </c>
      <c r="I82" s="2386"/>
      <c r="J82" s="48"/>
      <c r="K82" s="48"/>
    </row>
    <row r="83" spans="1:12" ht="30" customHeight="1" x14ac:dyDescent="0.25">
      <c r="A83" s="48"/>
      <c r="B83" s="2042" t="str">
        <f>Submittals!H172</f>
        <v>Select the Submission Stage in Project Information</v>
      </c>
      <c r="C83" s="2043"/>
      <c r="D83" s="2043"/>
      <c r="E83" s="2043"/>
      <c r="F83" s="2044"/>
      <c r="G83" s="1298" t="s">
        <v>62</v>
      </c>
      <c r="H83" s="1684"/>
      <c r="I83" s="2239"/>
      <c r="J83" s="48"/>
      <c r="K83" s="48"/>
      <c r="L83" s="37" t="str">
        <f>IF(OR(B83="/",B83="No evidence required at this submission stage"),"Yes",IF(OR(G83="Already approved at PC",G83="Submitted"),"Yes","No"))</f>
        <v>No</v>
      </c>
    </row>
    <row r="84" spans="1:12" ht="19.5" customHeight="1" x14ac:dyDescent="0.25">
      <c r="A84" s="48"/>
      <c r="B84" s="49"/>
      <c r="C84" s="49"/>
      <c r="D84" s="49"/>
      <c r="E84" s="48"/>
      <c r="F84" s="48"/>
      <c r="G84" s="48"/>
      <c r="H84" s="48"/>
      <c r="I84" s="48"/>
      <c r="J84" s="48"/>
      <c r="K84" s="48"/>
    </row>
    <row r="85" spans="1:12" ht="16.5" customHeight="1" x14ac:dyDescent="0.25">
      <c r="A85" s="2403" t="s">
        <v>8</v>
      </c>
      <c r="B85" s="2403"/>
      <c r="C85" s="2403"/>
      <c r="D85" s="49"/>
      <c r="E85" s="49"/>
      <c r="F85" s="49"/>
      <c r="G85" s="49"/>
      <c r="H85" s="49"/>
      <c r="I85" s="49"/>
      <c r="J85" s="49"/>
      <c r="K85" s="49"/>
    </row>
    <row r="86" spans="1:12" ht="16.5" customHeight="1" x14ac:dyDescent="0.25">
      <c r="A86" s="48"/>
      <c r="B86" s="49"/>
      <c r="C86" s="49"/>
      <c r="D86" s="49"/>
      <c r="E86" s="49"/>
      <c r="F86" s="48"/>
      <c r="G86" s="48"/>
      <c r="H86" s="48"/>
      <c r="I86" s="48"/>
      <c r="J86" s="48"/>
      <c r="K86" s="48"/>
    </row>
    <row r="87" spans="1:12" ht="18" customHeight="1" x14ac:dyDescent="0.25">
      <c r="A87" s="48"/>
      <c r="B87" s="156" t="s">
        <v>19</v>
      </c>
      <c r="C87" s="116">
        <f>IF(E78="Yes",1,0)</f>
        <v>0</v>
      </c>
      <c r="D87" s="49"/>
      <c r="E87" s="48"/>
      <c r="F87" s="48"/>
      <c r="G87" s="48"/>
      <c r="H87" s="48"/>
      <c r="I87" s="48"/>
      <c r="J87" s="48"/>
      <c r="K87" s="48"/>
    </row>
    <row r="88" spans="1:12" ht="18" customHeight="1" x14ac:dyDescent="0.25">
      <c r="A88" s="48"/>
      <c r="B88" s="156" t="s">
        <v>151</v>
      </c>
      <c r="C88" s="116" t="str">
        <f>IF(AND(COUNTIF(L83,"Yes")=1,C87&gt;0),"Yes","No")</f>
        <v>No</v>
      </c>
      <c r="D88" s="49"/>
      <c r="E88" s="49"/>
      <c r="F88" s="48"/>
      <c r="G88" s="48"/>
      <c r="H88" s="48"/>
      <c r="I88" s="48"/>
      <c r="J88" s="48"/>
      <c r="K88" s="48"/>
    </row>
    <row r="89" spans="1:12" ht="21" customHeight="1" x14ac:dyDescent="0.25">
      <c r="A89" s="48"/>
      <c r="B89" s="49"/>
      <c r="C89" s="49"/>
      <c r="D89" s="49"/>
      <c r="E89" s="49"/>
      <c r="F89" s="48"/>
      <c r="G89" s="48"/>
      <c r="H89" s="48"/>
      <c r="I89" s="48"/>
      <c r="J89" s="48"/>
      <c r="K89" s="48"/>
    </row>
    <row r="90" spans="1:12" ht="18" customHeight="1" x14ac:dyDescent="0.25">
      <c r="A90" s="2381" t="s">
        <v>169</v>
      </c>
      <c r="B90" s="2381"/>
      <c r="C90" s="2381"/>
      <c r="D90" s="2381"/>
      <c r="E90" s="2381"/>
      <c r="F90" s="2381"/>
      <c r="G90" s="2381"/>
      <c r="H90" s="2381"/>
      <c r="I90" s="2381"/>
      <c r="J90" s="2381"/>
      <c r="K90" s="2381"/>
    </row>
    <row r="91" spans="1:12" x14ac:dyDescent="0.25">
      <c r="A91" s="48"/>
      <c r="B91" s="48"/>
      <c r="C91" s="49"/>
      <c r="D91" s="49"/>
      <c r="E91" s="49"/>
      <c r="F91" s="48"/>
      <c r="G91" s="48"/>
      <c r="H91" s="48"/>
      <c r="I91" s="48"/>
      <c r="J91" s="48"/>
      <c r="K91" s="48"/>
    </row>
    <row r="92" spans="1:12" ht="16.5" customHeight="1" x14ac:dyDescent="0.25">
      <c r="A92" s="2403" t="s">
        <v>117</v>
      </c>
      <c r="B92" s="2403"/>
      <c r="C92" s="2403"/>
      <c r="D92" s="49"/>
      <c r="E92" s="49"/>
      <c r="F92" s="49"/>
      <c r="G92" s="49"/>
      <c r="H92" s="49"/>
      <c r="I92" s="49"/>
      <c r="J92" s="49"/>
      <c r="K92" s="49"/>
    </row>
    <row r="93" spans="1:12" ht="12" customHeight="1" x14ac:dyDescent="0.25">
      <c r="A93" s="48"/>
      <c r="B93" s="49"/>
      <c r="C93" s="49"/>
      <c r="D93" s="49"/>
      <c r="E93" s="49"/>
      <c r="F93" s="48"/>
      <c r="G93" s="48"/>
      <c r="H93" s="48"/>
      <c r="I93" s="48"/>
      <c r="J93" s="48"/>
      <c r="K93" s="48"/>
    </row>
    <row r="94" spans="1:12" ht="15" customHeight="1" x14ac:dyDescent="0.25">
      <c r="A94" s="48"/>
      <c r="B94" s="2419" t="s">
        <v>2408</v>
      </c>
      <c r="C94" s="2419"/>
      <c r="D94" s="2419"/>
      <c r="E94" s="2419"/>
      <c r="F94" s="2419"/>
      <c r="G94" s="2419"/>
      <c r="H94" s="2419"/>
      <c r="I94" s="2419"/>
      <c r="J94" s="2419"/>
      <c r="K94" s="48"/>
    </row>
    <row r="95" spans="1:12" ht="18" customHeight="1" x14ac:dyDescent="0.25">
      <c r="A95" s="48"/>
      <c r="B95" s="48"/>
      <c r="C95" s="49"/>
      <c r="D95" s="49"/>
      <c r="E95" s="49"/>
      <c r="F95" s="48"/>
      <c r="G95" s="48"/>
      <c r="H95" s="48"/>
      <c r="I95" s="48"/>
      <c r="J95" s="48"/>
      <c r="K95" s="48"/>
    </row>
    <row r="96" spans="1:12" x14ac:dyDescent="0.25">
      <c r="A96" s="48"/>
      <c r="B96" s="671" t="s">
        <v>1275</v>
      </c>
      <c r="C96" s="49"/>
      <c r="D96" s="49"/>
      <c r="E96" s="49"/>
      <c r="F96" s="48"/>
      <c r="G96" s="48"/>
      <c r="H96" s="48"/>
      <c r="I96" s="48"/>
      <c r="J96" s="48"/>
      <c r="K96" s="48"/>
    </row>
    <row r="97" spans="1:11" ht="13.5" customHeight="1" x14ac:dyDescent="0.25">
      <c r="A97" s="48"/>
      <c r="B97" s="48"/>
      <c r="C97" s="49"/>
      <c r="D97" s="49"/>
      <c r="E97" s="49"/>
      <c r="F97" s="48"/>
      <c r="G97" s="48"/>
      <c r="H97" s="48"/>
      <c r="I97" s="48"/>
      <c r="J97" s="48"/>
      <c r="K97" s="48"/>
    </row>
    <row r="98" spans="1:11" x14ac:dyDescent="0.25">
      <c r="A98" s="48"/>
      <c r="B98" s="49" t="s">
        <v>1279</v>
      </c>
      <c r="C98" s="49"/>
      <c r="D98" s="49"/>
      <c r="E98" s="49"/>
      <c r="F98" s="48"/>
      <c r="G98" s="48"/>
      <c r="H98" s="48"/>
      <c r="I98" s="48"/>
      <c r="J98" s="48"/>
      <c r="K98" s="48"/>
    </row>
    <row r="99" spans="1:11" ht="27" customHeight="1" x14ac:dyDescent="0.25">
      <c r="A99" s="48"/>
      <c r="B99" s="2424" t="s">
        <v>170</v>
      </c>
      <c r="C99" s="2424"/>
      <c r="D99" s="2425"/>
      <c r="E99" s="2425"/>
      <c r="F99" s="2425"/>
      <c r="G99" s="2425"/>
      <c r="H99" s="2425"/>
      <c r="I99" s="48"/>
      <c r="J99" s="48"/>
      <c r="K99" s="48"/>
    </row>
    <row r="100" spans="1:11" x14ac:dyDescent="0.25">
      <c r="A100" s="48"/>
      <c r="B100" s="49"/>
      <c r="C100" s="49"/>
      <c r="D100" s="49"/>
      <c r="E100" s="49"/>
      <c r="F100" s="48"/>
      <c r="G100" s="48"/>
      <c r="H100" s="48"/>
      <c r="I100" s="48"/>
      <c r="J100" s="48"/>
      <c r="K100" s="48"/>
    </row>
    <row r="101" spans="1:11" x14ac:dyDescent="0.25">
      <c r="A101" s="48"/>
      <c r="B101" s="49" t="s">
        <v>1280</v>
      </c>
      <c r="C101" s="49"/>
      <c r="D101" s="49"/>
      <c r="E101" s="49"/>
      <c r="F101" s="48"/>
      <c r="G101" s="48"/>
      <c r="H101" s="48"/>
      <c r="I101" s="48"/>
      <c r="J101" s="48"/>
      <c r="K101" s="48"/>
    </row>
    <row r="102" spans="1:11" ht="27" customHeight="1" x14ac:dyDescent="0.25">
      <c r="A102" s="48"/>
      <c r="B102" s="2424" t="s">
        <v>171</v>
      </c>
      <c r="C102" s="2424"/>
      <c r="D102" s="2425"/>
      <c r="E102" s="2425"/>
      <c r="F102" s="2425"/>
      <c r="G102" s="2425"/>
      <c r="H102" s="2425"/>
      <c r="I102" s="48"/>
      <c r="J102" s="48"/>
      <c r="K102" s="48"/>
    </row>
    <row r="103" spans="1:11" x14ac:dyDescent="0.25">
      <c r="A103" s="48"/>
      <c r="B103" s="49"/>
      <c r="C103" s="49"/>
      <c r="D103" s="49"/>
      <c r="E103" s="49"/>
      <c r="F103" s="48"/>
      <c r="G103" s="48"/>
      <c r="H103" s="48"/>
      <c r="I103" s="48"/>
      <c r="J103" s="48"/>
      <c r="K103" s="48"/>
    </row>
    <row r="104" spans="1:11" x14ac:dyDescent="0.25">
      <c r="A104" s="48"/>
      <c r="B104" s="49" t="s">
        <v>2074</v>
      </c>
      <c r="C104" s="49"/>
      <c r="D104" s="49"/>
      <c r="E104" s="49"/>
      <c r="F104" s="48"/>
      <c r="G104" s="48"/>
      <c r="H104" s="48"/>
      <c r="I104" s="48"/>
      <c r="J104" s="48"/>
      <c r="K104" s="48"/>
    </row>
    <row r="105" spans="1:11" ht="18" customHeight="1" x14ac:dyDescent="0.25">
      <c r="A105" s="48"/>
      <c r="B105" s="2400" t="s">
        <v>1271</v>
      </c>
      <c r="C105" s="2401"/>
      <c r="D105" s="2401"/>
      <c r="E105" s="790" t="s">
        <v>1272</v>
      </c>
      <c r="F105" s="2401" t="s">
        <v>1273</v>
      </c>
      <c r="G105" s="2401"/>
      <c r="H105" s="2402"/>
      <c r="I105" s="48"/>
      <c r="J105" s="48"/>
      <c r="K105" s="48"/>
    </row>
    <row r="106" spans="1:11" ht="57.75" customHeight="1" x14ac:dyDescent="0.25">
      <c r="A106" s="48"/>
      <c r="B106" s="2426" t="s">
        <v>1274</v>
      </c>
      <c r="C106" s="2427"/>
      <c r="D106" s="2428"/>
      <c r="E106" s="768" t="s">
        <v>62</v>
      </c>
      <c r="F106" s="2404"/>
      <c r="G106" s="2405"/>
      <c r="H106" s="2406"/>
      <c r="I106" s="667"/>
      <c r="J106" s="48"/>
      <c r="K106" s="48"/>
    </row>
    <row r="107" spans="1:11" ht="18" customHeight="1" x14ac:dyDescent="0.25">
      <c r="A107" s="48"/>
      <c r="B107" s="2414" t="s">
        <v>2073</v>
      </c>
      <c r="C107" s="2415"/>
      <c r="D107" s="2415"/>
      <c r="E107" s="2415"/>
      <c r="F107" s="2415"/>
      <c r="G107" s="2415"/>
      <c r="H107" s="2416"/>
      <c r="I107" s="49"/>
      <c r="J107" s="48"/>
      <c r="K107" s="48"/>
    </row>
    <row r="108" spans="1:11" ht="45" customHeight="1" x14ac:dyDescent="0.25">
      <c r="A108" s="48"/>
      <c r="B108" s="2404"/>
      <c r="C108" s="2405"/>
      <c r="D108" s="2406"/>
      <c r="E108" s="1114" t="s">
        <v>62</v>
      </c>
      <c r="F108" s="2404"/>
      <c r="G108" s="2405"/>
      <c r="H108" s="2406"/>
      <c r="I108" s="49"/>
      <c r="J108" s="48"/>
      <c r="K108" s="48"/>
    </row>
    <row r="109" spans="1:11" x14ac:dyDescent="0.25">
      <c r="A109" s="48"/>
      <c r="B109" s="48"/>
      <c r="C109" s="48"/>
      <c r="D109" s="48"/>
      <c r="E109" s="48"/>
      <c r="F109" s="48"/>
      <c r="G109" s="48"/>
      <c r="H109" s="48"/>
      <c r="I109" s="48"/>
      <c r="J109" s="48"/>
      <c r="K109" s="48"/>
    </row>
    <row r="110" spans="1:11" x14ac:dyDescent="0.25">
      <c r="A110" s="48"/>
      <c r="B110" s="49" t="s">
        <v>1281</v>
      </c>
      <c r="C110" s="48"/>
      <c r="D110" s="48"/>
      <c r="E110" s="48"/>
      <c r="F110" s="48"/>
      <c r="G110" s="48"/>
      <c r="H110" s="48"/>
      <c r="I110" s="48"/>
      <c r="J110" s="48"/>
      <c r="K110" s="48"/>
    </row>
    <row r="111" spans="1:11" ht="19.5" customHeight="1" x14ac:dyDescent="0.25">
      <c r="A111" s="48"/>
      <c r="B111" s="2400" t="s">
        <v>1271</v>
      </c>
      <c r="C111" s="2401"/>
      <c r="D111" s="2401"/>
      <c r="E111" s="790" t="s">
        <v>1272</v>
      </c>
      <c r="F111" s="2401" t="s">
        <v>1273</v>
      </c>
      <c r="G111" s="2401"/>
      <c r="H111" s="2402"/>
      <c r="I111" s="48"/>
      <c r="J111" s="48"/>
      <c r="K111" s="48"/>
    </row>
    <row r="112" spans="1:11" ht="42" customHeight="1" x14ac:dyDescent="0.25">
      <c r="A112" s="48"/>
      <c r="B112" s="2397" t="s">
        <v>1276</v>
      </c>
      <c r="C112" s="2398"/>
      <c r="D112" s="2399"/>
      <c r="E112" s="768" t="s">
        <v>62</v>
      </c>
      <c r="F112" s="2404"/>
      <c r="G112" s="2405"/>
      <c r="H112" s="2406"/>
      <c r="I112" s="48"/>
      <c r="J112" s="48"/>
      <c r="K112" s="48"/>
    </row>
    <row r="113" spans="1:12" ht="42" customHeight="1" x14ac:dyDescent="0.25">
      <c r="A113" s="48"/>
      <c r="B113" s="2397" t="s">
        <v>1277</v>
      </c>
      <c r="C113" s="2398"/>
      <c r="D113" s="2399"/>
      <c r="E113" s="768" t="s">
        <v>62</v>
      </c>
      <c r="F113" s="2404"/>
      <c r="G113" s="2405"/>
      <c r="H113" s="2406"/>
      <c r="I113" s="48"/>
      <c r="J113" s="48"/>
      <c r="K113" s="48"/>
    </row>
    <row r="114" spans="1:12" ht="42" customHeight="1" x14ac:dyDescent="0.25">
      <c r="A114" s="48"/>
      <c r="B114" s="2397" t="s">
        <v>1278</v>
      </c>
      <c r="C114" s="2398"/>
      <c r="D114" s="2399"/>
      <c r="E114" s="768" t="s">
        <v>62</v>
      </c>
      <c r="F114" s="2404"/>
      <c r="G114" s="2405"/>
      <c r="H114" s="2406"/>
      <c r="I114" s="48"/>
      <c r="J114" s="48"/>
      <c r="K114" s="48"/>
    </row>
    <row r="115" spans="1:12" ht="18" customHeight="1" x14ac:dyDescent="0.25">
      <c r="A115" s="48"/>
      <c r="B115" s="49"/>
      <c r="C115" s="49"/>
      <c r="D115" s="48"/>
      <c r="E115" s="48"/>
      <c r="F115" s="48"/>
      <c r="G115" s="48"/>
      <c r="H115" s="48"/>
      <c r="I115" s="48"/>
      <c r="J115" s="48"/>
      <c r="K115" s="48"/>
    </row>
    <row r="116" spans="1:12" ht="21" customHeight="1" x14ac:dyDescent="0.25">
      <c r="A116" s="48"/>
      <c r="B116" s="2382" t="s">
        <v>172</v>
      </c>
      <c r="C116" s="2382"/>
      <c r="D116" s="2382"/>
      <c r="E116" s="157" t="str">
        <f>IF(AND(D99&lt;&gt;"",D102&lt;&gt;"",OR(AND(E106="Yes",F106&lt;&gt;""),AND(B108&lt;&gt;"",E108="Yes",F108&lt;&gt;"")),OR(AND(F112&lt;&gt;"",E112="Yes"),AND(F113&lt;&gt;"",E113="Yes"),AND(F114&lt;&gt;"",E114="Yes"))),"Yes","No")</f>
        <v>No</v>
      </c>
      <c r="F116" s="48"/>
      <c r="G116" s="48"/>
      <c r="H116" s="48"/>
      <c r="I116" s="48"/>
      <c r="J116" s="48"/>
      <c r="K116" s="48"/>
    </row>
    <row r="117" spans="1:12" ht="19.5" customHeight="1" x14ac:dyDescent="0.25">
      <c r="A117" s="48"/>
      <c r="B117" s="49"/>
      <c r="C117" s="49"/>
      <c r="D117" s="49"/>
      <c r="E117" s="48"/>
      <c r="F117" s="48"/>
      <c r="G117" s="48"/>
      <c r="H117" s="48"/>
      <c r="I117" s="48"/>
      <c r="J117" s="48"/>
      <c r="K117" s="48"/>
    </row>
    <row r="118" spans="1:12" ht="16.5" customHeight="1" x14ac:dyDescent="0.25">
      <c r="A118" s="2403" t="s">
        <v>97</v>
      </c>
      <c r="B118" s="2403"/>
      <c r="C118" s="2403"/>
      <c r="D118" s="49"/>
      <c r="E118" s="49"/>
      <c r="F118" s="49"/>
      <c r="G118" s="49"/>
      <c r="H118" s="49"/>
      <c r="I118" s="49"/>
      <c r="J118" s="49"/>
      <c r="K118" s="49"/>
    </row>
    <row r="119" spans="1:12" x14ac:dyDescent="0.25">
      <c r="A119" s="48"/>
      <c r="B119" s="49"/>
      <c r="C119" s="49"/>
      <c r="D119" s="49"/>
      <c r="E119" s="48"/>
      <c r="F119" s="48"/>
      <c r="G119" s="48"/>
      <c r="H119" s="48"/>
      <c r="I119" s="48"/>
      <c r="J119" s="48"/>
      <c r="K119" s="48"/>
    </row>
    <row r="120" spans="1:12" ht="21" customHeight="1" x14ac:dyDescent="0.25">
      <c r="A120" s="48"/>
      <c r="B120" s="2383" t="s">
        <v>98</v>
      </c>
      <c r="C120" s="2384"/>
      <c r="D120" s="2384"/>
      <c r="E120" s="2384"/>
      <c r="F120" s="2384"/>
      <c r="G120" s="830" t="s">
        <v>1297</v>
      </c>
      <c r="H120" s="2385" t="s">
        <v>1298</v>
      </c>
      <c r="I120" s="2386"/>
      <c r="J120" s="48"/>
      <c r="K120" s="48"/>
    </row>
    <row r="121" spans="1:12" ht="30" customHeight="1" x14ac:dyDescent="0.25">
      <c r="A121" s="48"/>
      <c r="B121" s="2042" t="str">
        <f>Submittals!H174</f>
        <v>Select the Submission Stage in Project Information</v>
      </c>
      <c r="C121" s="2043"/>
      <c r="D121" s="2043"/>
      <c r="E121" s="2043"/>
      <c r="F121" s="2044"/>
      <c r="G121" s="827" t="s">
        <v>62</v>
      </c>
      <c r="H121" s="1625"/>
      <c r="I121" s="1626"/>
      <c r="J121" s="48"/>
      <c r="K121" s="48"/>
      <c r="L121" s="37" t="str">
        <f>IF(OR(B121="/",B121="No evidence required at this submission stage"),"Yes",IF(G121="Submitted","Yes","No"))</f>
        <v>No</v>
      </c>
    </row>
    <row r="122" spans="1:12" ht="27" hidden="1" customHeight="1" x14ac:dyDescent="0.25">
      <c r="A122" s="48"/>
      <c r="B122" s="2042" t="str">
        <f>Submittals!H175</f>
        <v>Select the Submission Stage in Project Information</v>
      </c>
      <c r="C122" s="2043"/>
      <c r="D122" s="2043"/>
      <c r="E122" s="2043"/>
      <c r="F122" s="2044"/>
      <c r="G122" s="827" t="s">
        <v>62</v>
      </c>
      <c r="H122" s="1684"/>
      <c r="I122" s="2239"/>
      <c r="J122" s="48"/>
      <c r="K122" s="48"/>
      <c r="L122" s="37" t="str">
        <f>IF(OR(B122="/",B122="No evidence required at this submission stage"),"Yes",IF(G122="Submitted","Yes","No"))</f>
        <v>No</v>
      </c>
    </row>
    <row r="123" spans="1:12" ht="19.5" customHeight="1" x14ac:dyDescent="0.25">
      <c r="A123" s="48"/>
      <c r="B123" s="49"/>
      <c r="C123" s="49"/>
      <c r="D123" s="49"/>
      <c r="E123" s="48"/>
      <c r="F123" s="48"/>
      <c r="G123" s="48"/>
      <c r="H123" s="48"/>
      <c r="I123" s="48"/>
      <c r="J123" s="48"/>
      <c r="K123" s="48"/>
    </row>
    <row r="124" spans="1:12" ht="16.5" customHeight="1" x14ac:dyDescent="0.25">
      <c r="A124" s="2403" t="s">
        <v>8</v>
      </c>
      <c r="B124" s="2403"/>
      <c r="C124" s="2403"/>
      <c r="D124" s="49"/>
      <c r="E124" s="49"/>
      <c r="F124" s="49"/>
      <c r="G124" s="49"/>
      <c r="H124" s="49"/>
      <c r="I124" s="49"/>
      <c r="J124" s="49"/>
      <c r="K124" s="49"/>
    </row>
    <row r="125" spans="1:12" ht="16.5" customHeight="1" x14ac:dyDescent="0.25">
      <c r="A125" s="48"/>
      <c r="B125" s="49"/>
      <c r="C125" s="49"/>
      <c r="D125" s="49"/>
      <c r="E125" s="49"/>
      <c r="F125" s="48"/>
      <c r="G125" s="48"/>
      <c r="H125" s="48"/>
      <c r="I125" s="48"/>
      <c r="J125" s="48"/>
      <c r="K125" s="48"/>
    </row>
    <row r="126" spans="1:12" ht="18" customHeight="1" x14ac:dyDescent="0.25">
      <c r="A126" s="48"/>
      <c r="B126" s="156" t="s">
        <v>19</v>
      </c>
      <c r="C126" s="8">
        <f>IF(E116="Yes",1,0)</f>
        <v>0</v>
      </c>
      <c r="D126" s="49"/>
      <c r="E126" s="48"/>
      <c r="F126" s="48"/>
      <c r="G126" s="48"/>
      <c r="H126" s="48"/>
      <c r="I126" s="48"/>
      <c r="J126" s="48"/>
      <c r="K126" s="48"/>
    </row>
    <row r="127" spans="1:12" ht="18" customHeight="1" x14ac:dyDescent="0.25">
      <c r="A127" s="48"/>
      <c r="B127" s="156" t="s">
        <v>151</v>
      </c>
      <c r="C127" s="116" t="str">
        <f>IF(AND(COUNTIF(L121:L122,"Yes")=2,C126&gt;0),"Yes","No")</f>
        <v>No</v>
      </c>
      <c r="D127" s="49"/>
      <c r="E127" s="49"/>
      <c r="F127" s="48"/>
      <c r="G127" s="48"/>
      <c r="H127" s="48"/>
      <c r="I127" s="48"/>
      <c r="J127" s="48"/>
      <c r="K127" s="48"/>
    </row>
    <row r="128" spans="1:12" ht="21" customHeight="1" x14ac:dyDescent="0.25">
      <c r="A128" s="48"/>
      <c r="B128" s="49"/>
      <c r="C128" s="49"/>
      <c r="D128" s="49"/>
      <c r="E128" s="49"/>
      <c r="F128" s="48"/>
      <c r="G128" s="48"/>
      <c r="H128" s="48"/>
      <c r="I128" s="48"/>
      <c r="J128" s="48"/>
      <c r="K128" s="48"/>
    </row>
    <row r="129" spans="1:12" ht="18" customHeight="1" x14ac:dyDescent="0.25">
      <c r="A129" s="2381" t="s">
        <v>499</v>
      </c>
      <c r="B129" s="2381"/>
      <c r="C129" s="2381"/>
      <c r="D129" s="2381"/>
      <c r="E129" s="2381"/>
      <c r="F129" s="2381"/>
      <c r="G129" s="2381"/>
      <c r="H129" s="2381"/>
      <c r="I129" s="2381"/>
      <c r="J129" s="2381"/>
      <c r="K129" s="2381"/>
    </row>
    <row r="130" spans="1:12" x14ac:dyDescent="0.25">
      <c r="A130" s="48"/>
      <c r="B130" s="48"/>
      <c r="C130" s="49"/>
      <c r="D130" s="49"/>
      <c r="E130" s="49"/>
      <c r="F130" s="48"/>
      <c r="G130" s="48"/>
      <c r="H130" s="48"/>
      <c r="I130" s="48"/>
      <c r="J130" s="48"/>
      <c r="K130" s="48"/>
    </row>
    <row r="131" spans="1:12" ht="16.5" customHeight="1" x14ac:dyDescent="0.25">
      <c r="A131" s="2403" t="s">
        <v>117</v>
      </c>
      <c r="B131" s="2403"/>
      <c r="C131" s="2403"/>
      <c r="D131" s="49"/>
      <c r="E131" s="49"/>
      <c r="F131" s="49"/>
      <c r="G131" s="49"/>
      <c r="H131" s="49"/>
      <c r="I131" s="49"/>
      <c r="J131" s="49"/>
      <c r="K131" s="49"/>
    </row>
    <row r="132" spans="1:12" x14ac:dyDescent="0.25">
      <c r="A132" s="48"/>
      <c r="B132" s="49"/>
      <c r="C132" s="49"/>
      <c r="D132" s="49"/>
      <c r="E132" s="49"/>
      <c r="F132" s="48"/>
      <c r="G132" s="48"/>
      <c r="H132" s="48"/>
      <c r="I132" s="48"/>
      <c r="J132" s="48"/>
      <c r="K132" s="48"/>
    </row>
    <row r="133" spans="1:12" x14ac:dyDescent="0.25">
      <c r="A133" s="48"/>
      <c r="B133" s="2063" t="s">
        <v>1352</v>
      </c>
      <c r="C133" s="2063"/>
      <c r="D133" s="2063"/>
      <c r="E133" s="2063"/>
      <c r="F133" s="2063"/>
      <c r="G133" s="2063"/>
      <c r="H133" s="2063"/>
      <c r="I133" s="2063"/>
      <c r="J133" s="2063"/>
      <c r="K133" s="48"/>
    </row>
    <row r="134" spans="1:12" ht="19.5" customHeight="1" x14ac:dyDescent="0.25">
      <c r="A134" s="48"/>
      <c r="B134" s="49"/>
      <c r="C134" s="49"/>
      <c r="D134" s="49"/>
      <c r="E134" s="49"/>
      <c r="F134" s="48"/>
      <c r="G134" s="48"/>
      <c r="H134" s="48"/>
      <c r="I134" s="48"/>
      <c r="J134" s="48"/>
      <c r="K134" s="48"/>
    </row>
    <row r="135" spans="1:12" x14ac:dyDescent="0.25">
      <c r="A135" s="48"/>
      <c r="B135" s="671" t="s">
        <v>1705</v>
      </c>
      <c r="C135" s="49"/>
      <c r="D135" s="49"/>
      <c r="E135" s="49"/>
      <c r="F135" s="48"/>
      <c r="G135" s="48"/>
      <c r="H135" s="48"/>
      <c r="I135" s="48"/>
      <c r="J135" s="48"/>
      <c r="K135" s="48"/>
    </row>
    <row r="136" spans="1:12" ht="14.25" customHeight="1" x14ac:dyDescent="0.25">
      <c r="A136" s="48"/>
      <c r="B136" s="49"/>
      <c r="C136" s="49"/>
      <c r="D136" s="49"/>
      <c r="E136" s="49"/>
      <c r="F136" s="48"/>
      <c r="G136" s="48"/>
      <c r="H136" s="48"/>
      <c r="I136" s="48"/>
      <c r="J136" s="48"/>
      <c r="K136" s="48"/>
    </row>
    <row r="137" spans="1:12" ht="17.25" customHeight="1" x14ac:dyDescent="0.25">
      <c r="A137" s="48"/>
      <c r="B137" s="1115" t="s">
        <v>2076</v>
      </c>
      <c r="C137" s="791"/>
      <c r="D137" s="49"/>
      <c r="E137" s="49"/>
      <c r="F137" s="48"/>
      <c r="G137" s="48"/>
      <c r="H137" s="48"/>
      <c r="I137" s="48"/>
      <c r="J137" s="48"/>
      <c r="K137" s="48"/>
    </row>
    <row r="138" spans="1:12" ht="10.5" customHeight="1" x14ac:dyDescent="0.25">
      <c r="A138" s="48"/>
      <c r="B138" s="49"/>
      <c r="C138" s="49"/>
      <c r="D138" s="49"/>
      <c r="E138" s="49"/>
      <c r="F138" s="48"/>
      <c r="G138" s="48"/>
      <c r="H138" s="48"/>
      <c r="I138" s="48"/>
      <c r="J138" s="48"/>
      <c r="K138" s="48"/>
    </row>
    <row r="139" spans="1:12" ht="21.75" customHeight="1" x14ac:dyDescent="0.25">
      <c r="A139" s="48"/>
      <c r="B139" s="2383" t="s">
        <v>1713</v>
      </c>
      <c r="C139" s="2384"/>
      <c r="D139" s="2384"/>
      <c r="E139" s="2384"/>
      <c r="F139" s="961" t="s">
        <v>1706</v>
      </c>
      <c r="G139" s="2385" t="s">
        <v>15</v>
      </c>
      <c r="H139" s="2386"/>
      <c r="I139" s="48"/>
      <c r="J139" s="48"/>
      <c r="K139" s="48"/>
    </row>
    <row r="140" spans="1:12" ht="16.5" customHeight="1" x14ac:dyDescent="0.25">
      <c r="A140" s="48"/>
      <c r="B140" s="1620" t="s">
        <v>1707</v>
      </c>
      <c r="C140" s="1620"/>
      <c r="D140" s="1620"/>
      <c r="E140" s="1620"/>
      <c r="F140" s="958" t="s">
        <v>62</v>
      </c>
      <c r="G140" s="1625"/>
      <c r="H140" s="1626"/>
      <c r="I140" s="48"/>
      <c r="J140" s="48"/>
      <c r="K140" s="48"/>
      <c r="L140" s="37" t="str">
        <f>IF(F140="Yes","Yes","No")</f>
        <v>No</v>
      </c>
    </row>
    <row r="141" spans="1:12" ht="16.5" customHeight="1" x14ac:dyDescent="0.25">
      <c r="A141" s="48"/>
      <c r="B141" s="1620" t="s">
        <v>1708</v>
      </c>
      <c r="C141" s="1620"/>
      <c r="D141" s="1620"/>
      <c r="E141" s="1620"/>
      <c r="F141" s="958" t="s">
        <v>62</v>
      </c>
      <c r="G141" s="1625"/>
      <c r="H141" s="1626"/>
      <c r="I141" s="48"/>
      <c r="J141" s="48"/>
      <c r="K141" s="48"/>
      <c r="L141" s="37" t="str">
        <f t="shared" ref="L141:L145" si="1">IF(F141="Yes","Yes","No")</f>
        <v>No</v>
      </c>
    </row>
    <row r="142" spans="1:12" ht="16.5" customHeight="1" x14ac:dyDescent="0.25">
      <c r="A142" s="48"/>
      <c r="B142" s="1620" t="s">
        <v>2075</v>
      </c>
      <c r="C142" s="1620"/>
      <c r="D142" s="1620"/>
      <c r="E142" s="1620"/>
      <c r="F142" s="958" t="s">
        <v>62</v>
      </c>
      <c r="G142" s="1625"/>
      <c r="H142" s="1626"/>
      <c r="I142" s="48"/>
      <c r="J142" s="48"/>
      <c r="K142" s="48"/>
      <c r="L142" s="37" t="str">
        <f t="shared" si="1"/>
        <v>No</v>
      </c>
    </row>
    <row r="143" spans="1:12" ht="16.5" customHeight="1" x14ac:dyDescent="0.25">
      <c r="A143" s="48"/>
      <c r="B143" s="1620" t="s">
        <v>1709</v>
      </c>
      <c r="C143" s="1620"/>
      <c r="D143" s="1620"/>
      <c r="E143" s="1620"/>
      <c r="F143" s="958" t="s">
        <v>62</v>
      </c>
      <c r="G143" s="1625"/>
      <c r="H143" s="1626"/>
      <c r="I143" s="48"/>
      <c r="J143" s="48"/>
      <c r="K143" s="48"/>
      <c r="L143" s="37" t="str">
        <f t="shared" si="1"/>
        <v>No</v>
      </c>
    </row>
    <row r="144" spans="1:12" ht="16.5" customHeight="1" x14ac:dyDescent="0.25">
      <c r="A144" s="48"/>
      <c r="B144" s="1620" t="s">
        <v>1710</v>
      </c>
      <c r="C144" s="1620"/>
      <c r="D144" s="1620"/>
      <c r="E144" s="1620"/>
      <c r="F144" s="958" t="s">
        <v>62</v>
      </c>
      <c r="G144" s="1625"/>
      <c r="H144" s="1626"/>
      <c r="I144" s="48"/>
      <c r="J144" s="48"/>
      <c r="K144" s="48"/>
      <c r="L144" s="37" t="str">
        <f t="shared" si="1"/>
        <v>No</v>
      </c>
    </row>
    <row r="145" spans="1:12" ht="16.5" customHeight="1" x14ac:dyDescent="0.25">
      <c r="A145" s="48"/>
      <c r="B145" s="1620" t="s">
        <v>1711</v>
      </c>
      <c r="C145" s="1620"/>
      <c r="D145" s="1620"/>
      <c r="E145" s="1620"/>
      <c r="F145" s="958" t="s">
        <v>62</v>
      </c>
      <c r="G145" s="1625"/>
      <c r="H145" s="1626"/>
      <c r="I145" s="48"/>
      <c r="J145" s="48"/>
      <c r="K145" s="48"/>
      <c r="L145" s="37" t="str">
        <f t="shared" si="1"/>
        <v>No</v>
      </c>
    </row>
    <row r="146" spans="1:12" ht="16.5" customHeight="1" x14ac:dyDescent="0.25">
      <c r="A146" s="48"/>
      <c r="B146" s="959" t="s">
        <v>1712</v>
      </c>
      <c r="C146" s="2408"/>
      <c r="D146" s="2409"/>
      <c r="E146" s="2410"/>
      <c r="F146" s="958" t="s">
        <v>62</v>
      </c>
      <c r="G146" s="1625"/>
      <c r="H146" s="1626"/>
      <c r="I146" s="48"/>
      <c r="J146" s="48"/>
      <c r="K146" s="48"/>
      <c r="L146" s="37" t="str">
        <f>IF(AND(C146&lt;&gt;"",F146="Yes"),"Yes","No")</f>
        <v>No</v>
      </c>
    </row>
    <row r="147" spans="1:12" ht="16.5" customHeight="1" x14ac:dyDescent="0.25">
      <c r="A147" s="48"/>
      <c r="B147" s="959" t="s">
        <v>1712</v>
      </c>
      <c r="C147" s="2408"/>
      <c r="D147" s="2409"/>
      <c r="E147" s="2410"/>
      <c r="F147" s="958" t="s">
        <v>62</v>
      </c>
      <c r="G147" s="1625"/>
      <c r="H147" s="1626"/>
      <c r="I147" s="48"/>
      <c r="J147" s="48"/>
      <c r="K147" s="48"/>
      <c r="L147" s="37" t="str">
        <f>IF(AND(C147&lt;&gt;"",F147="Yes"),"Yes","No")</f>
        <v>No</v>
      </c>
    </row>
    <row r="148" spans="1:12" ht="18.75" customHeight="1" x14ac:dyDescent="0.25">
      <c r="A148" s="48"/>
      <c r="B148" s="49"/>
      <c r="C148" s="49"/>
      <c r="D148" s="49"/>
      <c r="E148" s="49"/>
      <c r="F148" s="48"/>
      <c r="G148" s="48"/>
      <c r="H148" s="48"/>
      <c r="I148" s="48"/>
      <c r="J148" s="48"/>
      <c r="K148" s="48"/>
    </row>
    <row r="149" spans="1:12" ht="16.5" customHeight="1" x14ac:dyDescent="0.25">
      <c r="A149" s="48"/>
      <c r="B149" s="1115" t="s">
        <v>2077</v>
      </c>
      <c r="C149" s="49"/>
      <c r="D149" s="49"/>
      <c r="E149" s="49"/>
      <c r="F149" s="48"/>
      <c r="G149" s="48"/>
      <c r="H149" s="48"/>
      <c r="I149" s="48"/>
      <c r="J149" s="48"/>
      <c r="K149" s="48"/>
    </row>
    <row r="150" spans="1:12" ht="11.25" customHeight="1" x14ac:dyDescent="0.25">
      <c r="A150" s="48"/>
      <c r="B150" s="49"/>
      <c r="C150" s="49"/>
      <c r="D150" s="49"/>
      <c r="E150" s="49"/>
      <c r="F150" s="48"/>
      <c r="G150" s="48"/>
      <c r="H150" s="48"/>
      <c r="I150" s="48"/>
      <c r="J150" s="48"/>
      <c r="K150" s="48"/>
    </row>
    <row r="151" spans="1:12" ht="16.5" customHeight="1" x14ac:dyDescent="0.25">
      <c r="A151" s="48"/>
      <c r="B151" s="2411" t="s">
        <v>1714</v>
      </c>
      <c r="C151" s="2412"/>
      <c r="D151" s="2412"/>
      <c r="E151" s="2412"/>
      <c r="F151" s="2412"/>
      <c r="G151" s="2412"/>
      <c r="H151" s="2412"/>
      <c r="I151" s="2412"/>
      <c r="J151" s="48"/>
      <c r="K151" s="48"/>
    </row>
    <row r="152" spans="1:12" ht="27" customHeight="1" x14ac:dyDescent="0.25">
      <c r="A152" s="48"/>
      <c r="B152" s="2407"/>
      <c r="C152" s="2407"/>
      <c r="D152" s="2407"/>
      <c r="E152" s="2407"/>
      <c r="F152" s="2407"/>
      <c r="G152" s="2407"/>
      <c r="H152" s="2407"/>
      <c r="I152" s="2407"/>
      <c r="J152" s="48"/>
      <c r="K152" s="48"/>
      <c r="L152" s="71"/>
    </row>
    <row r="153" spans="1:12" ht="27" customHeight="1" x14ac:dyDescent="0.25">
      <c r="A153" s="48"/>
      <c r="B153" s="2407"/>
      <c r="C153" s="2407"/>
      <c r="D153" s="2407"/>
      <c r="E153" s="2407"/>
      <c r="F153" s="2407"/>
      <c r="G153" s="2407"/>
      <c r="H153" s="2407"/>
      <c r="I153" s="2407"/>
      <c r="J153" s="48"/>
      <c r="K153" s="48"/>
      <c r="L153" s="71"/>
    </row>
    <row r="154" spans="1:12" ht="27" customHeight="1" x14ac:dyDescent="0.25">
      <c r="A154" s="48"/>
      <c r="B154" s="2407"/>
      <c r="C154" s="2407"/>
      <c r="D154" s="2407"/>
      <c r="E154" s="2407"/>
      <c r="F154" s="2407"/>
      <c r="G154" s="2407"/>
      <c r="H154" s="2407"/>
      <c r="I154" s="2407"/>
      <c r="J154" s="48"/>
      <c r="K154" s="48"/>
      <c r="L154" s="71"/>
    </row>
    <row r="155" spans="1:12" ht="27" customHeight="1" x14ac:dyDescent="0.25">
      <c r="A155" s="48"/>
      <c r="B155" s="2407"/>
      <c r="C155" s="2407"/>
      <c r="D155" s="2407"/>
      <c r="E155" s="2407"/>
      <c r="F155" s="2407"/>
      <c r="G155" s="2407"/>
      <c r="H155" s="2407"/>
      <c r="I155" s="2407"/>
      <c r="J155" s="48"/>
      <c r="K155" s="48"/>
      <c r="L155" s="71"/>
    </row>
    <row r="156" spans="1:12" x14ac:dyDescent="0.25">
      <c r="A156" s="48"/>
      <c r="B156" s="61"/>
      <c r="C156" s="49"/>
      <c r="D156" s="49"/>
      <c r="E156" s="49"/>
      <c r="F156" s="48"/>
      <c r="G156" s="48"/>
      <c r="H156" s="48"/>
      <c r="I156" s="48"/>
      <c r="J156" s="48"/>
      <c r="K156" s="48"/>
    </row>
    <row r="157" spans="1:12" ht="21" customHeight="1" x14ac:dyDescent="0.25">
      <c r="A157" s="48"/>
      <c r="B157" s="2382" t="s">
        <v>1146</v>
      </c>
      <c r="C157" s="2382"/>
      <c r="D157" s="2382"/>
      <c r="E157" s="157" t="str">
        <f>IF(AND(B152&lt;&gt;"",B153&lt;&gt;"",B154&lt;&gt;"",L140="Yes",L141="Yes",COUNTIF(L140:L147,"Yes")&gt;2),"Yes","No")</f>
        <v>No</v>
      </c>
      <c r="F157" s="48"/>
      <c r="G157" s="48"/>
      <c r="H157" s="48"/>
      <c r="I157" s="48"/>
      <c r="J157" s="48"/>
      <c r="K157" s="48"/>
    </row>
    <row r="158" spans="1:12" ht="19.5" customHeight="1" x14ac:dyDescent="0.25">
      <c r="A158" s="48"/>
      <c r="B158" s="49"/>
      <c r="C158" s="49"/>
      <c r="D158" s="49"/>
      <c r="E158" s="48"/>
      <c r="F158" s="48"/>
      <c r="G158" s="48"/>
      <c r="H158" s="48"/>
      <c r="I158" s="48"/>
      <c r="J158" s="48"/>
      <c r="K158" s="48"/>
    </row>
    <row r="159" spans="1:12" ht="16.5" customHeight="1" x14ac:dyDescent="0.25">
      <c r="A159" s="2403" t="s">
        <v>97</v>
      </c>
      <c r="B159" s="2403"/>
      <c r="C159" s="2403"/>
      <c r="D159" s="49"/>
      <c r="E159" s="49"/>
      <c r="F159" s="49"/>
      <c r="G159" s="49"/>
      <c r="H159" s="49"/>
      <c r="I159" s="49"/>
      <c r="J159" s="49"/>
      <c r="K159" s="49"/>
    </row>
    <row r="160" spans="1:12" x14ac:dyDescent="0.25">
      <c r="A160" s="48"/>
      <c r="B160" s="49"/>
      <c r="C160" s="49"/>
      <c r="D160" s="49"/>
      <c r="E160" s="48"/>
      <c r="F160" s="48"/>
      <c r="G160" s="48"/>
      <c r="H160" s="48"/>
      <c r="I160" s="48"/>
      <c r="J160" s="48"/>
      <c r="K160" s="48"/>
    </row>
    <row r="161" spans="1:12" ht="21" customHeight="1" x14ac:dyDescent="0.25">
      <c r="A161" s="48"/>
      <c r="B161" s="2383" t="s">
        <v>98</v>
      </c>
      <c r="C161" s="2384"/>
      <c r="D161" s="2384"/>
      <c r="E161" s="2384"/>
      <c r="F161" s="2384"/>
      <c r="G161" s="830" t="s">
        <v>1297</v>
      </c>
      <c r="H161" s="2385" t="s">
        <v>1298</v>
      </c>
      <c r="I161" s="2386"/>
      <c r="J161" s="48"/>
      <c r="K161" s="48"/>
    </row>
    <row r="162" spans="1:12" ht="27" customHeight="1" x14ac:dyDescent="0.25">
      <c r="A162" s="48"/>
      <c r="B162" s="2042" t="str">
        <f>Submittals!H176</f>
        <v>Select the Submission Stage in Project Information</v>
      </c>
      <c r="C162" s="2043"/>
      <c r="D162" s="2043"/>
      <c r="E162" s="2043"/>
      <c r="F162" s="2044"/>
      <c r="G162" s="827" t="s">
        <v>62</v>
      </c>
      <c r="H162" s="1625"/>
      <c r="I162" s="1626"/>
      <c r="J162" s="48"/>
      <c r="K162" s="48"/>
      <c r="L162" s="37" t="str">
        <f>IF(OR(B162="/",B162="No evidence required at this submission stage"),"Yes",IF(G162="Submitted","Yes","No"))</f>
        <v>No</v>
      </c>
    </row>
    <row r="163" spans="1:12" ht="27" hidden="1" customHeight="1" x14ac:dyDescent="0.25">
      <c r="A163" s="48"/>
      <c r="B163" s="2042" t="str">
        <f>Submittals!H177</f>
        <v>Select the Submission Stage in Project Information</v>
      </c>
      <c r="C163" s="2043"/>
      <c r="D163" s="2043"/>
      <c r="E163" s="2043"/>
      <c r="F163" s="2044"/>
      <c r="G163" s="827" t="s">
        <v>62</v>
      </c>
      <c r="H163" s="1684"/>
      <c r="I163" s="2239"/>
      <c r="J163" s="48"/>
      <c r="K163" s="48"/>
      <c r="L163" s="37" t="str">
        <f>IF(OR(B163="/",B163="No evidence required at this submission stage"),"Yes",IF(G163="Submitted","Yes","No"))</f>
        <v>No</v>
      </c>
    </row>
    <row r="164" spans="1:12" ht="19.5" customHeight="1" x14ac:dyDescent="0.25">
      <c r="A164" s="48"/>
      <c r="B164" s="49"/>
      <c r="C164" s="49"/>
      <c r="D164" s="49"/>
      <c r="E164" s="48"/>
      <c r="F164" s="48"/>
      <c r="G164" s="48"/>
      <c r="H164" s="48"/>
      <c r="I164" s="48"/>
      <c r="J164" s="48"/>
      <c r="K164" s="48"/>
    </row>
    <row r="165" spans="1:12" ht="16.5" customHeight="1" x14ac:dyDescent="0.25">
      <c r="A165" s="2403" t="s">
        <v>8</v>
      </c>
      <c r="B165" s="2403"/>
      <c r="C165" s="2403"/>
      <c r="D165" s="49"/>
      <c r="E165" s="49"/>
      <c r="F165" s="49"/>
      <c r="G165" s="49"/>
      <c r="H165" s="49"/>
      <c r="I165" s="49"/>
      <c r="J165" s="49"/>
      <c r="K165" s="49"/>
    </row>
    <row r="166" spans="1:12" ht="16.5" customHeight="1" x14ac:dyDescent="0.25">
      <c r="A166" s="48"/>
      <c r="B166" s="49"/>
      <c r="C166" s="49"/>
      <c r="D166" s="49"/>
      <c r="E166" s="49"/>
      <c r="F166" s="48"/>
      <c r="G166" s="48"/>
      <c r="H166" s="48"/>
      <c r="I166" s="48"/>
      <c r="J166" s="48"/>
      <c r="K166" s="48"/>
    </row>
    <row r="167" spans="1:12" ht="18" customHeight="1" x14ac:dyDescent="0.25">
      <c r="A167" s="48"/>
      <c r="B167" s="156" t="s">
        <v>19</v>
      </c>
      <c r="C167" s="8">
        <f>IF(E157="Yes",1,0)</f>
        <v>0</v>
      </c>
      <c r="D167" s="49"/>
      <c r="E167" s="48"/>
      <c r="F167" s="48"/>
      <c r="G167" s="48"/>
      <c r="H167" s="48"/>
      <c r="I167" s="48"/>
      <c r="J167" s="48"/>
      <c r="K167" s="48"/>
    </row>
    <row r="168" spans="1:12" ht="18" customHeight="1" x14ac:dyDescent="0.25">
      <c r="A168" s="48"/>
      <c r="B168" s="156" t="s">
        <v>151</v>
      </c>
      <c r="C168" s="116" t="str">
        <f>IF(AND(COUNTIF(L162:L163,"Yes")=2,C167&gt;0),"Yes","No")</f>
        <v>No</v>
      </c>
      <c r="D168" s="49"/>
      <c r="E168" s="49"/>
      <c r="F168" s="48"/>
      <c r="G168" s="48"/>
      <c r="H168" s="48"/>
      <c r="I168" s="48"/>
      <c r="J168" s="48"/>
      <c r="K168" s="48"/>
    </row>
    <row r="169" spans="1:12" ht="21" customHeight="1" x14ac:dyDescent="0.25">
      <c r="A169" s="48"/>
      <c r="B169" s="49"/>
      <c r="C169" s="49"/>
      <c r="D169" s="49"/>
      <c r="E169" s="49"/>
      <c r="F169" s="48"/>
      <c r="G169" s="48"/>
      <c r="H169" s="48"/>
      <c r="I169" s="48"/>
      <c r="J169" s="48"/>
      <c r="K169" s="48"/>
    </row>
    <row r="170" spans="1:12" ht="15" hidden="1" customHeight="1" x14ac:dyDescent="0.25"/>
    <row r="171" spans="1:12" ht="15" hidden="1" customHeight="1" x14ac:dyDescent="0.25"/>
    <row r="172" spans="1:12" ht="15" hidden="1" customHeight="1" x14ac:dyDescent="0.25"/>
    <row r="173" spans="1:12" ht="15" hidden="1" customHeight="1" x14ac:dyDescent="0.25"/>
    <row r="174" spans="1:12" ht="15" hidden="1" customHeight="1" x14ac:dyDescent="0.25"/>
    <row r="175" spans="1:12" ht="15" hidden="1" customHeight="1" x14ac:dyDescent="0.25"/>
    <row r="176" spans="1:12"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sheetData>
  <sheetProtection algorithmName="SHA-512" hashValue="N6q/wLO/K+lPQHyA36m932zKbOUeHNx36+a5mdukzv8zWkECVOBh8Ibq+uAgEMqc7YovD7d+glaUk/Beq+MYBg==" saltValue="GKkzAUp1aons5qN0aV+2CQ==" spinCount="100000" sheet="1" objects="1" scenarios="1"/>
  <mergeCells count="132">
    <mergeCell ref="B50:D50"/>
    <mergeCell ref="F50:H50"/>
    <mergeCell ref="B51:D51"/>
    <mergeCell ref="F51:H51"/>
    <mergeCell ref="B41:D41"/>
    <mergeCell ref="F41:H41"/>
    <mergeCell ref="B44:D44"/>
    <mergeCell ref="F44:H44"/>
    <mergeCell ref="B45:D45"/>
    <mergeCell ref="F45:H45"/>
    <mergeCell ref="B46:D46"/>
    <mergeCell ref="F46:H46"/>
    <mergeCell ref="B49:D49"/>
    <mergeCell ref="F49:H49"/>
    <mergeCell ref="F34:H34"/>
    <mergeCell ref="B35:D35"/>
    <mergeCell ref="F35:H35"/>
    <mergeCell ref="B36:D36"/>
    <mergeCell ref="F36:H36"/>
    <mergeCell ref="B39:D39"/>
    <mergeCell ref="F39:H39"/>
    <mergeCell ref="B40:D40"/>
    <mergeCell ref="F40:H40"/>
    <mergeCell ref="H161:I161"/>
    <mergeCell ref="H162:I162"/>
    <mergeCell ref="G147:H147"/>
    <mergeCell ref="B153:I153"/>
    <mergeCell ref="B155:I155"/>
    <mergeCell ref="B154:I154"/>
    <mergeCell ref="A1:K1"/>
    <mergeCell ref="B58:F58"/>
    <mergeCell ref="B105:D105"/>
    <mergeCell ref="B106:D106"/>
    <mergeCell ref="F105:H105"/>
    <mergeCell ref="F106:H106"/>
    <mergeCell ref="A20:C20"/>
    <mergeCell ref="B23:J23"/>
    <mergeCell ref="A61:C61"/>
    <mergeCell ref="A68:C68"/>
    <mergeCell ref="A55:C55"/>
    <mergeCell ref="B16:E16"/>
    <mergeCell ref="A66:K66"/>
    <mergeCell ref="B76:C76"/>
    <mergeCell ref="B78:D78"/>
    <mergeCell ref="H2:I4"/>
    <mergeCell ref="A5:K7"/>
    <mergeCell ref="B11:E11"/>
    <mergeCell ref="B12:E12"/>
    <mergeCell ref="B13:E13"/>
    <mergeCell ref="A9:K9"/>
    <mergeCell ref="A165:C165"/>
    <mergeCell ref="B161:F161"/>
    <mergeCell ref="B163:F163"/>
    <mergeCell ref="B99:C99"/>
    <mergeCell ref="D99:H99"/>
    <mergeCell ref="B116:D116"/>
    <mergeCell ref="B133:J133"/>
    <mergeCell ref="B102:C102"/>
    <mergeCell ref="B162:F162"/>
    <mergeCell ref="B121:F121"/>
    <mergeCell ref="A131:C131"/>
    <mergeCell ref="A159:C159"/>
    <mergeCell ref="F112:H112"/>
    <mergeCell ref="F114:H114"/>
    <mergeCell ref="H163:I163"/>
    <mergeCell ref="H120:I120"/>
    <mergeCell ref="B14:E14"/>
    <mergeCell ref="B15:E15"/>
    <mergeCell ref="B22:J22"/>
    <mergeCell ref="D102:H102"/>
    <mergeCell ref="A118:C118"/>
    <mergeCell ref="B53:D53"/>
    <mergeCell ref="F108:H108"/>
    <mergeCell ref="B108:D108"/>
    <mergeCell ref="B107:H107"/>
    <mergeCell ref="A18:K18"/>
    <mergeCell ref="B57:F57"/>
    <mergeCell ref="B59:F59"/>
    <mergeCell ref="D76:E76"/>
    <mergeCell ref="B74:E74"/>
    <mergeCell ref="B82:F82"/>
    <mergeCell ref="A85:C85"/>
    <mergeCell ref="B94:J94"/>
    <mergeCell ref="A90:K90"/>
    <mergeCell ref="B83:F83"/>
    <mergeCell ref="B70:J70"/>
    <mergeCell ref="A92:C92"/>
    <mergeCell ref="A80:C80"/>
    <mergeCell ref="B29:D29"/>
    <mergeCell ref="F29:H29"/>
    <mergeCell ref="B30:D30"/>
    <mergeCell ref="F30:H30"/>
    <mergeCell ref="B31:D31"/>
    <mergeCell ref="F31:H31"/>
    <mergeCell ref="B34:D34"/>
    <mergeCell ref="B157:D157"/>
    <mergeCell ref="B122:F122"/>
    <mergeCell ref="A129:K129"/>
    <mergeCell ref="A124:C124"/>
    <mergeCell ref="B112:D112"/>
    <mergeCell ref="F113:H113"/>
    <mergeCell ref="B152:I152"/>
    <mergeCell ref="G142:H142"/>
    <mergeCell ref="G143:H143"/>
    <mergeCell ref="G144:H144"/>
    <mergeCell ref="G145:H145"/>
    <mergeCell ref="G146:H146"/>
    <mergeCell ref="C146:E146"/>
    <mergeCell ref="C147:E147"/>
    <mergeCell ref="B120:F120"/>
    <mergeCell ref="H121:I121"/>
    <mergeCell ref="H122:I122"/>
    <mergeCell ref="B151:I151"/>
    <mergeCell ref="B139:E139"/>
    <mergeCell ref="B140:E140"/>
    <mergeCell ref="B141:E141"/>
    <mergeCell ref="B142:E142"/>
    <mergeCell ref="B143:E143"/>
    <mergeCell ref="B144:E144"/>
    <mergeCell ref="B145:E145"/>
    <mergeCell ref="G139:H139"/>
    <mergeCell ref="G140:H140"/>
    <mergeCell ref="G141:H141"/>
    <mergeCell ref="H57:I57"/>
    <mergeCell ref="H58:I58"/>
    <mergeCell ref="H59:I59"/>
    <mergeCell ref="H82:I82"/>
    <mergeCell ref="H83:I83"/>
    <mergeCell ref="B113:D113"/>
    <mergeCell ref="B114:D114"/>
    <mergeCell ref="B111:D111"/>
    <mergeCell ref="F111:H111"/>
  </mergeCells>
  <conditionalFormatting sqref="E106">
    <cfRule type="expression" dxfId="87" priority="67">
      <formula>#REF!&lt;&gt;"Prescriptive Path"</formula>
    </cfRule>
  </conditionalFormatting>
  <conditionalFormatting sqref="E112">
    <cfRule type="expression" dxfId="86" priority="62">
      <formula>#REF!&lt;&gt;"Prescriptive Path"</formula>
    </cfRule>
  </conditionalFormatting>
  <conditionalFormatting sqref="E113">
    <cfRule type="expression" dxfId="85" priority="61">
      <formula>#REF!&lt;&gt;"Prescriptive Path"</formula>
    </cfRule>
  </conditionalFormatting>
  <conditionalFormatting sqref="E114">
    <cfRule type="expression" dxfId="84" priority="60">
      <formula>#REF!&lt;&gt;"Prescriptive Path"</formula>
    </cfRule>
  </conditionalFormatting>
  <conditionalFormatting sqref="G121:G122">
    <cfRule type="expression" dxfId="83" priority="42">
      <formula>$B121="No evidence required at this submission stage"</formula>
    </cfRule>
    <cfRule type="expression" dxfId="82" priority="43">
      <formula>$B121="/"</formula>
    </cfRule>
  </conditionalFormatting>
  <conditionalFormatting sqref="G162:G163">
    <cfRule type="expression" dxfId="81" priority="44">
      <formula>$B162="No evidence required at this submission stage"</formula>
    </cfRule>
    <cfRule type="expression" dxfId="80" priority="45">
      <formula>$B162="/"</formula>
    </cfRule>
  </conditionalFormatting>
  <conditionalFormatting sqref="G58:H59">
    <cfRule type="expression" dxfId="79" priority="38">
      <formula>$B58="No evidence required at this submission stage"</formula>
    </cfRule>
    <cfRule type="expression" dxfId="78" priority="39">
      <formula>$B58="/"</formula>
    </cfRule>
  </conditionalFormatting>
  <conditionalFormatting sqref="H162:H163">
    <cfRule type="expression" dxfId="77" priority="30">
      <formula>$B162="No evidence required at this submission stage"</formula>
    </cfRule>
    <cfRule type="expression" dxfId="76" priority="31">
      <formula>$B162="/"</formula>
    </cfRule>
  </conditionalFormatting>
  <conditionalFormatting sqref="H121:H122">
    <cfRule type="expression" dxfId="75" priority="32">
      <formula>$B121="No evidence required at this submission stage"</formula>
    </cfRule>
    <cfRule type="expression" dxfId="74" priority="33">
      <formula>$B121="/"</formula>
    </cfRule>
  </conditionalFormatting>
  <conditionalFormatting sqref="G140:G146">
    <cfRule type="expression" dxfId="73" priority="28">
      <formula>$B140="No evidence required at this submission stage"</formula>
    </cfRule>
    <cfRule type="expression" dxfId="72" priority="29">
      <formula>$B140="/"</formula>
    </cfRule>
  </conditionalFormatting>
  <conditionalFormatting sqref="C146">
    <cfRule type="expression" dxfId="71" priority="26">
      <formula>$B146="No evidence required at this submission stage"</formula>
    </cfRule>
    <cfRule type="expression" dxfId="70" priority="27">
      <formula>$B146="/"</formula>
    </cfRule>
  </conditionalFormatting>
  <conditionalFormatting sqref="C147">
    <cfRule type="expression" dxfId="69" priority="20">
      <formula>$B147="No evidence required at this submission stage"</formula>
    </cfRule>
    <cfRule type="expression" dxfId="68" priority="21">
      <formula>$B147="/"</formula>
    </cfRule>
  </conditionalFormatting>
  <conditionalFormatting sqref="G147">
    <cfRule type="expression" dxfId="67" priority="22">
      <formula>$B147="No evidence required at this submission stage"</formula>
    </cfRule>
    <cfRule type="expression" dxfId="66" priority="23">
      <formula>$B147="/"</formula>
    </cfRule>
  </conditionalFormatting>
  <conditionalFormatting sqref="E108">
    <cfRule type="expression" dxfId="65" priority="19">
      <formula>#REF!&lt;&gt;"Prescriptive Path"</formula>
    </cfRule>
  </conditionalFormatting>
  <conditionalFormatting sqref="E30:E31">
    <cfRule type="expression" dxfId="64" priority="10">
      <formula>#REF!&lt;&gt;"Prescriptive Path"</formula>
    </cfRule>
  </conditionalFormatting>
  <conditionalFormatting sqref="E40:E41">
    <cfRule type="expression" dxfId="63" priority="7">
      <formula>#REF!&lt;&gt;"Prescriptive Path"</formula>
    </cfRule>
  </conditionalFormatting>
  <conditionalFormatting sqref="E50:E51">
    <cfRule type="expression" dxfId="62" priority="5">
      <formula>#REF!&lt;&gt;"Prescriptive Path"</formula>
    </cfRule>
  </conditionalFormatting>
  <conditionalFormatting sqref="E35:E36">
    <cfRule type="expression" dxfId="61" priority="8">
      <formula>#REF!&lt;&gt;"Prescriptive Path"</formula>
    </cfRule>
  </conditionalFormatting>
  <conditionalFormatting sqref="E45:E46">
    <cfRule type="expression" dxfId="60" priority="6">
      <formula>#REF!&lt;&gt;"Prescriptive Path"</formula>
    </cfRule>
  </conditionalFormatting>
  <conditionalFormatting sqref="H83">
    <cfRule type="expression" dxfId="59" priority="3">
      <formula>$B83="No evidence required at this submission stage"</formula>
    </cfRule>
    <cfRule type="expression" dxfId="58" priority="4">
      <formula>$B83="/"</formula>
    </cfRule>
  </conditionalFormatting>
  <conditionalFormatting sqref="G83">
    <cfRule type="expression" dxfId="57" priority="1">
      <formula>$B83="/"</formula>
    </cfRule>
    <cfRule type="expression" dxfId="56" priority="2">
      <formula>$B83="No evidence required at this submission stage"</formula>
    </cfRule>
  </conditionalFormatting>
  <dataValidations count="11">
    <dataValidation allowBlank="1" showInputMessage="1" showErrorMessage="1" prompt="Adjoining base building occupants and neighboring occupants." sqref="B99:H99"/>
    <dataValidation allowBlank="1" showInputMessage="1" showErrorMessage="1" prompt="Can be drilling, coring, jackhammering, heavy machinery, etc." sqref="B102:H102"/>
    <dataValidation type="list" allowBlank="1" showInputMessage="1" showErrorMessage="1" sqref="G58:G59 G162:G163 G121:G122">
      <formula1>"Select,Submitted,Not submitted"</formula1>
    </dataValidation>
    <dataValidation type="list" allowBlank="1" showInputMessage="1" showErrorMessage="1" sqref="F74 E112:E114 E106 E108 E30:E31 E40:E41 E45:E46 E35:E36 E50:E51">
      <formula1>"Select,Yes,No"</formula1>
    </dataValidation>
    <dataValidation type="list" allowBlank="1" showInputMessage="1" showErrorMessage="1" sqref="F140:F147">
      <formula1>"Select,Yes,No,N/A"</formula1>
    </dataValidation>
    <dataValidation allowBlank="1" showInputMessage="1" showErrorMessage="1" prompt="For example:_x000a_- Protect all HVAC equipment from both dust and odors and seal all duct and equipment openings _x000a_- Avoid using permanently installed HVAC systems during construction if possible_x000a_- etc." sqref="B30:B31"/>
    <dataValidation allowBlank="1" showInputMessage="1" showErrorMessage="1" prompt="Isolate areas of work to prevent contamination of clean or occupied spaces (with temporary barriers or by maintaining negative pressure relative to other spaces)" sqref="B35:D36"/>
    <dataValidation allowBlank="1" showInputMessage="1" showErrorMessage="1" prompt="- Clean dust by using wetting agents_x000a_- Use efficient cleaning methods (wet mops, Vacuum cleaners with high efficiency particle filters, etc.)_x000a_- Select cleaning measures and frequency according to the pollutants generated_x000a_- etc." sqref="B40:D41"/>
    <dataValidation allowBlank="1" showInputMessage="1" showErrorMessage="1" prompt="- Conduct activities with high pollution potential (odorous or dust generating activities) during off hours to allow time for new materials to air out. _x000a_- etc._x000a_" sqref="B45:D46"/>
    <dataValidation allowBlank="1" showInputMessage="1" showErrorMessage="1" prompt="- Protect stored on-site and installed absorptive materials from moisture damage_x000a_- etc." sqref="B50:D51"/>
    <dataValidation type="list" allowBlank="1" showInputMessage="1" showErrorMessage="1" sqref="G83">
      <formula1>Sub_FC</formula1>
    </dataValidation>
  </dataValidations>
  <hyperlinks>
    <hyperlink ref="K3" location="'Man-5 Green Awareness '!B3" tooltip="Man-5" display="Man-5"/>
    <hyperlink ref="J2" location="'Man-1 LOTUS AP'!B3" tooltip="Man-1" display="Man-1"/>
    <hyperlink ref="J3" location="'Man-3 Commissioning'!B3" tooltip="Man-3" display="Man-3"/>
    <hyperlink ref="J4" location="'Man-4 Maintenance'!B3" tooltip="Man-4" display="Man-4"/>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84806"/>
  </sheetPr>
  <dimension ref="A1:M225"/>
  <sheetViews>
    <sheetView showRowColHeaders="0" workbookViewId="0">
      <pane ySplit="8" topLeftCell="A9" activePane="bottomLeft" state="frozen"/>
      <selection activeCell="B19" sqref="B19:E19"/>
      <selection pane="bottomLeft" activeCell="A8" sqref="A8"/>
    </sheetView>
  </sheetViews>
  <sheetFormatPr defaultColWidth="0" defaultRowHeight="15" customHeight="1" zeroHeight="1" x14ac:dyDescent="0.25"/>
  <cols>
    <col min="1" max="1" width="5.7109375" style="37" customWidth="1"/>
    <col min="2" max="2" width="18.42578125" style="37" customWidth="1"/>
    <col min="3" max="3" width="20.42578125" style="37" customWidth="1"/>
    <col min="4" max="6" width="18.42578125" style="37" customWidth="1"/>
    <col min="7" max="8" width="20.7109375" style="37" customWidth="1"/>
    <col min="9" max="9" width="15.140625" style="37" customWidth="1"/>
    <col min="10" max="11" width="8.5703125" style="37" customWidth="1"/>
    <col min="12" max="16384" width="9.140625" style="37" hidden="1"/>
  </cols>
  <sheetData>
    <row r="1" spans="1:12" ht="25.5" customHeight="1" x14ac:dyDescent="0.25">
      <c r="A1" s="2387" t="s">
        <v>446</v>
      </c>
      <c r="B1" s="2387"/>
      <c r="C1" s="2387"/>
      <c r="D1" s="2387"/>
      <c r="E1" s="2387"/>
      <c r="F1" s="2387"/>
      <c r="G1" s="2387"/>
      <c r="H1" s="2387"/>
      <c r="I1" s="2387"/>
      <c r="J1" s="2387"/>
      <c r="K1" s="2387"/>
    </row>
    <row r="2" spans="1:12" ht="15" customHeight="1" x14ac:dyDescent="0.25">
      <c r="A2" s="48"/>
      <c r="B2" s="49"/>
      <c r="C2" s="49"/>
      <c r="D2" s="49"/>
      <c r="E2" s="49"/>
      <c r="F2" s="48"/>
      <c r="G2" s="48"/>
      <c r="H2" s="1694" t="s">
        <v>1726</v>
      </c>
      <c r="I2" s="1694"/>
      <c r="J2" s="789" t="s">
        <v>323</v>
      </c>
      <c r="K2" s="789"/>
    </row>
    <row r="3" spans="1:12" ht="15" customHeight="1" x14ac:dyDescent="0.25">
      <c r="A3" s="48"/>
      <c r="B3" s="49"/>
      <c r="C3" s="49"/>
      <c r="D3" s="49"/>
      <c r="E3" s="49"/>
      <c r="F3" s="48"/>
      <c r="G3" s="48"/>
      <c r="H3" s="1694"/>
      <c r="I3" s="1694"/>
      <c r="J3" s="789" t="s">
        <v>324</v>
      </c>
      <c r="K3" s="789" t="s">
        <v>330</v>
      </c>
    </row>
    <row r="4" spans="1:12" ht="15" customHeight="1" x14ac:dyDescent="0.25">
      <c r="A4" s="48"/>
      <c r="B4" s="49"/>
      <c r="C4" s="49"/>
      <c r="D4" s="49"/>
      <c r="E4" s="49"/>
      <c r="F4" s="48"/>
      <c r="G4" s="48"/>
      <c r="H4" s="1695"/>
      <c r="I4" s="1695"/>
      <c r="J4" s="789" t="s">
        <v>326</v>
      </c>
      <c r="K4" s="789"/>
    </row>
    <row r="5" spans="1:12" ht="21" customHeight="1" x14ac:dyDescent="0.25">
      <c r="A5" s="1704" t="s">
        <v>2850</v>
      </c>
      <c r="B5" s="1705"/>
      <c r="C5" s="1705"/>
      <c r="D5" s="1705"/>
      <c r="E5" s="1705"/>
      <c r="F5" s="1705"/>
      <c r="G5" s="1705"/>
      <c r="H5" s="1705"/>
      <c r="I5" s="1705"/>
      <c r="J5" s="1705"/>
      <c r="K5" s="1705"/>
    </row>
    <row r="6" spans="1:12" ht="21" customHeight="1" x14ac:dyDescent="0.25">
      <c r="A6" s="1707"/>
      <c r="B6" s="1708"/>
      <c r="C6" s="1708"/>
      <c r="D6" s="1708"/>
      <c r="E6" s="1708"/>
      <c r="F6" s="1708"/>
      <c r="G6" s="1708"/>
      <c r="H6" s="1708"/>
      <c r="I6" s="1708"/>
      <c r="J6" s="1708"/>
      <c r="K6" s="1708"/>
    </row>
    <row r="7" spans="1:12" ht="21" customHeight="1" x14ac:dyDescent="0.25">
      <c r="A7" s="1710"/>
      <c r="B7" s="1711"/>
      <c r="C7" s="1711"/>
      <c r="D7" s="1711"/>
      <c r="E7" s="1711"/>
      <c r="F7" s="1711"/>
      <c r="G7" s="1711"/>
      <c r="H7" s="1711"/>
      <c r="I7" s="1711"/>
      <c r="J7" s="1711"/>
      <c r="K7" s="1711"/>
    </row>
    <row r="8" spans="1:12" ht="12" customHeight="1" x14ac:dyDescent="0.25">
      <c r="A8" s="48"/>
      <c r="B8" s="49"/>
      <c r="C8" s="49"/>
      <c r="D8" s="49"/>
      <c r="E8" s="49"/>
      <c r="F8" s="48"/>
      <c r="G8" s="48"/>
      <c r="H8" s="48"/>
      <c r="I8" s="48"/>
      <c r="J8" s="48"/>
      <c r="K8" s="48"/>
    </row>
    <row r="9" spans="1:12" ht="18" customHeight="1" x14ac:dyDescent="0.25">
      <c r="A9" s="2381" t="s">
        <v>95</v>
      </c>
      <c r="B9" s="2381"/>
      <c r="C9" s="2381"/>
      <c r="D9" s="2381"/>
      <c r="E9" s="2381"/>
      <c r="F9" s="2381"/>
      <c r="G9" s="2381"/>
      <c r="H9" s="2381"/>
      <c r="I9" s="2381"/>
      <c r="J9" s="2381"/>
      <c r="K9" s="2381"/>
    </row>
    <row r="10" spans="1:12" x14ac:dyDescent="0.25">
      <c r="A10" s="48"/>
      <c r="B10" s="49"/>
      <c r="C10" s="49"/>
      <c r="D10" s="49"/>
      <c r="E10" s="49"/>
      <c r="F10" s="48"/>
      <c r="G10" s="48"/>
      <c r="H10" s="48"/>
      <c r="I10" s="48"/>
      <c r="J10" s="48"/>
      <c r="K10" s="48"/>
    </row>
    <row r="11" spans="1:12" ht="21" customHeight="1" x14ac:dyDescent="0.25">
      <c r="A11" s="48"/>
      <c r="B11" s="2390" t="s">
        <v>96</v>
      </c>
      <c r="C11" s="2391"/>
      <c r="D11" s="2391"/>
      <c r="E11" s="2391"/>
      <c r="F11" s="540" t="s">
        <v>75</v>
      </c>
      <c r="G11" s="540" t="s">
        <v>19</v>
      </c>
      <c r="H11" s="56" t="s">
        <v>151</v>
      </c>
      <c r="I11" s="48"/>
      <c r="J11" s="48"/>
      <c r="K11" s="48"/>
    </row>
    <row r="12" spans="1:12" ht="55.5" customHeight="1" x14ac:dyDescent="0.25">
      <c r="A12" s="48"/>
      <c r="B12" s="2105" t="s">
        <v>2595</v>
      </c>
      <c r="C12" s="2106"/>
      <c r="D12" s="2106"/>
      <c r="E12" s="2107"/>
      <c r="F12" s="53">
        <v>2</v>
      </c>
      <c r="G12" s="158">
        <f>C92</f>
        <v>0</v>
      </c>
      <c r="H12" s="158" t="str">
        <f>C93</f>
        <v>No</v>
      </c>
      <c r="I12" s="48"/>
      <c r="J12" s="48"/>
      <c r="K12" s="48"/>
      <c r="L12" s="37" t="str">
        <f>IF(G12&lt;&gt;0,IF(H12="No","No","Yes"),"Yes")</f>
        <v>Yes</v>
      </c>
    </row>
    <row r="13" spans="1:12" ht="36" customHeight="1" x14ac:dyDescent="0.25">
      <c r="A13" s="48"/>
      <c r="B13" s="2105" t="s">
        <v>2596</v>
      </c>
      <c r="C13" s="2106"/>
      <c r="D13" s="2106"/>
      <c r="E13" s="2107"/>
      <c r="F13" s="320">
        <v>1</v>
      </c>
      <c r="G13" s="320">
        <f>C122</f>
        <v>0</v>
      </c>
      <c r="H13" s="320" t="str">
        <f>C123</f>
        <v>No</v>
      </c>
      <c r="I13" s="48"/>
      <c r="J13" s="48"/>
      <c r="K13" s="48"/>
      <c r="L13" s="37" t="str">
        <f>IF(G13&lt;&gt;0,IF(H13="No","No","Yes"),"Yes")</f>
        <v>Yes</v>
      </c>
    </row>
    <row r="14" spans="1:12" ht="18" customHeight="1" x14ac:dyDescent="0.25">
      <c r="A14" s="48"/>
      <c r="B14" s="1713" t="s">
        <v>29</v>
      </c>
      <c r="C14" s="1740"/>
      <c r="D14" s="1740"/>
      <c r="E14" s="1741"/>
      <c r="F14" s="612">
        <v>2</v>
      </c>
      <c r="G14" s="612">
        <f>MIN(2,SUM(G12:G13))</f>
        <v>0</v>
      </c>
      <c r="H14" s="612" t="str">
        <f>IF(COUNTIF(H12:H13,"No")=2,"No",IF(COUNTIF(L12:L13,"Yes")=2,"Yes","No"))</f>
        <v>No</v>
      </c>
      <c r="I14" s="48"/>
      <c r="J14" s="48"/>
      <c r="K14" s="48"/>
    </row>
    <row r="15" spans="1:12" ht="19.5" customHeight="1" x14ac:dyDescent="0.25">
      <c r="A15" s="48"/>
      <c r="B15" s="49"/>
      <c r="C15" s="49"/>
      <c r="D15" s="49"/>
      <c r="E15" s="49"/>
      <c r="F15" s="48"/>
      <c r="G15" s="48"/>
      <c r="H15" s="48"/>
      <c r="I15" s="48"/>
      <c r="J15" s="48"/>
      <c r="K15" s="48"/>
    </row>
    <row r="16" spans="1:12" ht="18" customHeight="1" x14ac:dyDescent="0.25">
      <c r="A16" s="2381" t="s">
        <v>1184</v>
      </c>
      <c r="B16" s="2381"/>
      <c r="C16" s="2381"/>
      <c r="D16" s="2381"/>
      <c r="E16" s="2381"/>
      <c r="F16" s="2381"/>
      <c r="G16" s="2381"/>
      <c r="H16" s="2381"/>
      <c r="I16" s="2381"/>
      <c r="J16" s="2381"/>
      <c r="K16" s="2381"/>
    </row>
    <row r="17" spans="1:11" ht="12" customHeight="1" x14ac:dyDescent="0.25">
      <c r="A17" s="48"/>
      <c r="B17" s="49"/>
      <c r="C17" s="49"/>
      <c r="D17" s="49"/>
      <c r="E17" s="49"/>
      <c r="F17" s="48"/>
      <c r="G17" s="48"/>
      <c r="H17" s="48"/>
      <c r="I17" s="48"/>
      <c r="J17" s="48"/>
      <c r="K17" s="48"/>
    </row>
    <row r="18" spans="1:11" ht="16.5" customHeight="1" x14ac:dyDescent="0.25">
      <c r="A18" s="48"/>
      <c r="B18" s="2433" t="s">
        <v>2200</v>
      </c>
      <c r="C18" s="2434"/>
      <c r="D18" s="2434"/>
      <c r="E18" s="2434"/>
      <c r="F18" s="2434"/>
      <c r="G18" s="2434"/>
      <c r="H18" s="2434"/>
      <c r="I18" s="2434"/>
      <c r="J18" s="2435"/>
      <c r="K18" s="48"/>
    </row>
    <row r="19" spans="1:11" ht="27" customHeight="1" x14ac:dyDescent="0.25">
      <c r="A19" s="48"/>
      <c r="B19" s="2436" t="s">
        <v>2204</v>
      </c>
      <c r="C19" s="2437"/>
      <c r="D19" s="2437"/>
      <c r="E19" s="2437"/>
      <c r="F19" s="2437"/>
      <c r="G19" s="2437"/>
      <c r="H19" s="2437"/>
      <c r="I19" s="2437"/>
      <c r="J19" s="2438"/>
      <c r="K19" s="48"/>
    </row>
    <row r="20" spans="1:11" ht="27" customHeight="1" x14ac:dyDescent="0.25">
      <c r="A20" s="48"/>
      <c r="B20" s="2436" t="s">
        <v>2205</v>
      </c>
      <c r="C20" s="2437"/>
      <c r="D20" s="2437"/>
      <c r="E20" s="2437"/>
      <c r="F20" s="2437"/>
      <c r="G20" s="2437"/>
      <c r="H20" s="2437"/>
      <c r="I20" s="2437"/>
      <c r="J20" s="2438"/>
      <c r="K20" s="48"/>
    </row>
    <row r="21" spans="1:11" ht="27" customHeight="1" x14ac:dyDescent="0.25">
      <c r="A21" s="48"/>
      <c r="B21" s="2436" t="s">
        <v>2201</v>
      </c>
      <c r="C21" s="2437"/>
      <c r="D21" s="2437"/>
      <c r="E21" s="2437"/>
      <c r="F21" s="2437"/>
      <c r="G21" s="2437"/>
      <c r="H21" s="2437"/>
      <c r="I21" s="2437"/>
      <c r="J21" s="2438"/>
      <c r="K21" s="48"/>
    </row>
    <row r="22" spans="1:11" ht="16.5" customHeight="1" x14ac:dyDescent="0.25">
      <c r="A22" s="48"/>
      <c r="B22" s="2436" t="s">
        <v>2202</v>
      </c>
      <c r="C22" s="2437"/>
      <c r="D22" s="2437"/>
      <c r="E22" s="2437"/>
      <c r="F22" s="2437"/>
      <c r="G22" s="2437"/>
      <c r="H22" s="2437"/>
      <c r="I22" s="2437"/>
      <c r="J22" s="2438"/>
      <c r="K22" s="48"/>
    </row>
    <row r="23" spans="1:11" ht="27" customHeight="1" x14ac:dyDescent="0.25">
      <c r="A23" s="48"/>
      <c r="B23" s="2290" t="s">
        <v>2203</v>
      </c>
      <c r="C23" s="2291"/>
      <c r="D23" s="2291"/>
      <c r="E23" s="2291"/>
      <c r="F23" s="2291"/>
      <c r="G23" s="2291"/>
      <c r="H23" s="2291"/>
      <c r="I23" s="2291"/>
      <c r="J23" s="2292"/>
      <c r="K23" s="48"/>
    </row>
    <row r="24" spans="1:11" ht="18" customHeight="1" x14ac:dyDescent="0.25">
      <c r="A24" s="48"/>
      <c r="B24" s="49"/>
      <c r="C24" s="49"/>
      <c r="D24" s="49"/>
      <c r="E24" s="49"/>
      <c r="F24" s="48"/>
      <c r="G24" s="48"/>
      <c r="H24" s="48"/>
      <c r="I24" s="48"/>
      <c r="J24" s="48"/>
      <c r="K24" s="48"/>
    </row>
    <row r="25" spans="1:11" ht="18" customHeight="1" x14ac:dyDescent="0.25">
      <c r="A25" s="2381" t="s">
        <v>2599</v>
      </c>
      <c r="B25" s="2381"/>
      <c r="C25" s="2381"/>
      <c r="D25" s="2381"/>
      <c r="E25" s="2381"/>
      <c r="F25" s="2381"/>
      <c r="G25" s="2381"/>
      <c r="H25" s="2381"/>
      <c r="I25" s="2381"/>
      <c r="J25" s="2381"/>
      <c r="K25" s="2381"/>
    </row>
    <row r="26" spans="1:11" ht="12" customHeight="1" x14ac:dyDescent="0.25">
      <c r="A26" s="48"/>
      <c r="B26" s="49"/>
      <c r="C26" s="49"/>
      <c r="D26" s="49"/>
      <c r="E26" s="49"/>
      <c r="F26" s="48"/>
      <c r="G26" s="48"/>
      <c r="H26" s="48"/>
      <c r="I26" s="48"/>
      <c r="J26" s="48"/>
      <c r="K26" s="48"/>
    </row>
    <row r="27" spans="1:11" ht="16.5" customHeight="1" x14ac:dyDescent="0.25">
      <c r="A27" s="2439" t="s">
        <v>117</v>
      </c>
      <c r="B27" s="2439"/>
      <c r="C27" s="2439"/>
      <c r="D27" s="49"/>
      <c r="E27" s="49"/>
      <c r="F27" s="48"/>
      <c r="G27" s="48"/>
      <c r="H27" s="48"/>
      <c r="I27" s="48"/>
      <c r="J27" s="48"/>
      <c r="K27" s="48"/>
    </row>
    <row r="28" spans="1:11" ht="12" customHeight="1" x14ac:dyDescent="0.25">
      <c r="A28" s="48"/>
      <c r="B28" s="49"/>
      <c r="C28" s="49"/>
      <c r="D28" s="49"/>
      <c r="E28" s="49"/>
      <c r="F28" s="48"/>
      <c r="G28" s="48"/>
      <c r="H28" s="48"/>
      <c r="I28" s="48"/>
      <c r="J28" s="48"/>
      <c r="K28" s="48"/>
    </row>
    <row r="29" spans="1:11" ht="13.5" customHeight="1" x14ac:dyDescent="0.25">
      <c r="A29" s="48"/>
      <c r="B29" s="2430" t="s">
        <v>2600</v>
      </c>
      <c r="C29" s="2430"/>
      <c r="D29" s="2430"/>
      <c r="E29" s="2430"/>
      <c r="F29" s="2430"/>
      <c r="G29" s="2430"/>
      <c r="H29" s="2430"/>
      <c r="I29" s="2430"/>
      <c r="J29" s="48"/>
      <c r="K29" s="48"/>
    </row>
    <row r="30" spans="1:11" ht="13.5" customHeight="1" x14ac:dyDescent="0.25">
      <c r="A30" s="48"/>
      <c r="B30" s="2430"/>
      <c r="C30" s="2430"/>
      <c r="D30" s="2430"/>
      <c r="E30" s="2430"/>
      <c r="F30" s="2430"/>
      <c r="G30" s="2430"/>
      <c r="H30" s="2430"/>
      <c r="I30" s="2430"/>
      <c r="J30" s="48"/>
      <c r="K30" s="48"/>
    </row>
    <row r="31" spans="1:11" ht="13.5" customHeight="1" x14ac:dyDescent="0.25">
      <c r="A31" s="48"/>
      <c r="B31" s="49"/>
      <c r="C31" s="49"/>
      <c r="D31" s="49"/>
      <c r="E31" s="49"/>
      <c r="F31" s="48"/>
      <c r="G31" s="48"/>
      <c r="H31" s="48"/>
      <c r="I31" s="48"/>
      <c r="J31" s="48"/>
      <c r="K31" s="48"/>
    </row>
    <row r="32" spans="1:11" x14ac:dyDescent="0.25">
      <c r="A32" s="48"/>
      <c r="B32" s="791" t="s">
        <v>1282</v>
      </c>
      <c r="C32" s="49"/>
      <c r="D32" s="49"/>
      <c r="E32" s="49"/>
      <c r="F32" s="48"/>
      <c r="G32" s="48"/>
      <c r="H32" s="48"/>
      <c r="I32" s="48"/>
      <c r="J32" s="48"/>
      <c r="K32" s="48"/>
    </row>
    <row r="33" spans="1:13" ht="18" customHeight="1" x14ac:dyDescent="0.25">
      <c r="A33" s="48"/>
      <c r="B33" s="49"/>
      <c r="C33" s="49"/>
      <c r="D33" s="49"/>
      <c r="E33" s="49"/>
      <c r="F33" s="48"/>
      <c r="G33" s="48"/>
      <c r="H33" s="48"/>
      <c r="I33" s="48"/>
      <c r="J33" s="48"/>
      <c r="K33" s="48"/>
    </row>
    <row r="34" spans="1:13" x14ac:dyDescent="0.25">
      <c r="A34" s="48"/>
      <c r="B34" s="885" t="s">
        <v>1430</v>
      </c>
      <c r="C34" s="48"/>
      <c r="D34" s="48"/>
      <c r="E34" s="48"/>
      <c r="F34" s="48"/>
      <c r="G34" s="48"/>
      <c r="H34" s="48"/>
      <c r="I34" s="48"/>
      <c r="J34" s="48"/>
      <c r="K34" s="48"/>
      <c r="L34" s="57"/>
      <c r="M34" s="57"/>
    </row>
    <row r="35" spans="1:13" ht="12" customHeight="1" x14ac:dyDescent="0.25">
      <c r="A35" s="48"/>
      <c r="B35" s="48"/>
      <c r="C35" s="48"/>
      <c r="D35" s="48"/>
      <c r="E35" s="48"/>
      <c r="F35" s="48"/>
      <c r="G35" s="48"/>
      <c r="H35" s="48"/>
      <c r="I35" s="48"/>
      <c r="J35" s="48"/>
      <c r="K35" s="48"/>
      <c r="L35" s="57"/>
      <c r="M35" s="57"/>
    </row>
    <row r="36" spans="1:13" ht="18.75" customHeight="1" x14ac:dyDescent="0.25">
      <c r="A36" s="48"/>
      <c r="B36" s="2383" t="s">
        <v>1612</v>
      </c>
      <c r="C36" s="2384"/>
      <c r="D36" s="2384"/>
      <c r="E36" s="2384"/>
      <c r="F36" s="961" t="str">
        <f>IF('Project information'!$C$7="Full Certification stage","Commissioned?","To be commissioned?")</f>
        <v>To be commissioned?</v>
      </c>
      <c r="G36" s="2385" t="s">
        <v>1704</v>
      </c>
      <c r="H36" s="2386"/>
      <c r="I36" s="48"/>
      <c r="J36" s="48"/>
      <c r="K36" s="48"/>
      <c r="L36" s="57"/>
      <c r="M36" s="57"/>
    </row>
    <row r="37" spans="1:13" ht="18" customHeight="1" x14ac:dyDescent="0.25">
      <c r="A37" s="48"/>
      <c r="B37" s="1620" t="s">
        <v>1613</v>
      </c>
      <c r="C37" s="1620"/>
      <c r="D37" s="1620"/>
      <c r="E37" s="1620"/>
      <c r="F37" s="919" t="s">
        <v>62</v>
      </c>
      <c r="G37" s="1625"/>
      <c r="H37" s="1626"/>
      <c r="I37" s="48"/>
      <c r="J37" s="48"/>
      <c r="K37" s="48"/>
      <c r="L37" s="37" t="str">
        <f>IF(OR(F37="Yes",F37="N/A"),"Yes","No")</f>
        <v>No</v>
      </c>
      <c r="M37" s="57" t="str">
        <f>IF(F37="N/A","Yes","No")</f>
        <v>No</v>
      </c>
    </row>
    <row r="38" spans="1:13" ht="18" customHeight="1" x14ac:dyDescent="0.25">
      <c r="A38" s="48"/>
      <c r="B38" s="1620" t="s">
        <v>1614</v>
      </c>
      <c r="C38" s="1620"/>
      <c r="D38" s="1620"/>
      <c r="E38" s="1620"/>
      <c r="F38" s="1058" t="s">
        <v>62</v>
      </c>
      <c r="G38" s="1625"/>
      <c r="H38" s="1626"/>
      <c r="I38" s="48"/>
      <c r="J38" s="48"/>
      <c r="K38" s="48"/>
      <c r="L38" s="37" t="str">
        <f t="shared" ref="L38:L39" si="0">IF(OR(F38="Yes",F38="N/A"),"Yes","No")</f>
        <v>No</v>
      </c>
      <c r="M38" s="57" t="str">
        <f t="shared" ref="M38:M41" si="1">IF(F38="N/A","Yes","No")</f>
        <v>No</v>
      </c>
    </row>
    <row r="39" spans="1:13" ht="18" customHeight="1" x14ac:dyDescent="0.25">
      <c r="A39" s="48"/>
      <c r="B39" s="1620" t="s">
        <v>1615</v>
      </c>
      <c r="C39" s="1620"/>
      <c r="D39" s="1620"/>
      <c r="E39" s="1620"/>
      <c r="F39" s="1058" t="s">
        <v>62</v>
      </c>
      <c r="G39" s="1625"/>
      <c r="H39" s="1626"/>
      <c r="I39" s="48"/>
      <c r="J39" s="48"/>
      <c r="K39" s="48"/>
      <c r="L39" s="37" t="str">
        <f t="shared" si="0"/>
        <v>No</v>
      </c>
      <c r="M39" s="57" t="str">
        <f t="shared" si="1"/>
        <v>No</v>
      </c>
    </row>
    <row r="40" spans="1:13" ht="18" customHeight="1" x14ac:dyDescent="0.25">
      <c r="A40" s="48"/>
      <c r="B40" s="1620" t="s">
        <v>1616</v>
      </c>
      <c r="C40" s="1620"/>
      <c r="D40" s="1620"/>
      <c r="E40" s="1620"/>
      <c r="F40" s="1058" t="s">
        <v>62</v>
      </c>
      <c r="G40" s="1625"/>
      <c r="H40" s="1626"/>
      <c r="I40" s="48"/>
      <c r="J40" s="48"/>
      <c r="K40" s="48"/>
      <c r="L40" s="37" t="str">
        <f>IF(OR(F40="Yes",F40="N/A"),"Yes","No")</f>
        <v>No</v>
      </c>
      <c r="M40" s="57" t="str">
        <f t="shared" si="1"/>
        <v>No</v>
      </c>
    </row>
    <row r="41" spans="1:13" ht="18" customHeight="1" x14ac:dyDescent="0.25">
      <c r="A41" s="48"/>
      <c r="B41" s="1620" t="s">
        <v>1617</v>
      </c>
      <c r="C41" s="1620"/>
      <c r="D41" s="1620"/>
      <c r="E41" s="1620"/>
      <c r="F41" s="1058" t="s">
        <v>62</v>
      </c>
      <c r="G41" s="1625"/>
      <c r="H41" s="1626"/>
      <c r="I41" s="48"/>
      <c r="J41" s="48"/>
      <c r="K41" s="48"/>
      <c r="L41" s="37" t="str">
        <f t="shared" ref="L41:L43" si="2">IF(OR(F41="Yes",F41="N/A"),"Yes","No")</f>
        <v>No</v>
      </c>
      <c r="M41" s="57" t="str">
        <f t="shared" si="1"/>
        <v>No</v>
      </c>
    </row>
    <row r="42" spans="1:13" ht="18" customHeight="1" x14ac:dyDescent="0.25">
      <c r="A42" s="48"/>
      <c r="B42" s="1620" t="s">
        <v>1619</v>
      </c>
      <c r="C42" s="1620"/>
      <c r="D42" s="1620"/>
      <c r="E42" s="1620"/>
      <c r="F42" s="1058" t="s">
        <v>62</v>
      </c>
      <c r="G42" s="1625"/>
      <c r="H42" s="1626"/>
      <c r="I42" s="48"/>
      <c r="J42" s="48"/>
      <c r="K42" s="48"/>
      <c r="L42" s="37" t="str">
        <f t="shared" si="2"/>
        <v>No</v>
      </c>
      <c r="M42" s="57" t="str">
        <f t="shared" ref="M42:M43" si="3">IF(F42="N/A","Yes","No")</f>
        <v>No</v>
      </c>
    </row>
    <row r="43" spans="1:13" ht="18" customHeight="1" x14ac:dyDescent="0.25">
      <c r="A43" s="48"/>
      <c r="B43" s="1620" t="s">
        <v>1618</v>
      </c>
      <c r="C43" s="1620"/>
      <c r="D43" s="1620"/>
      <c r="E43" s="1620"/>
      <c r="F43" s="1058" t="s">
        <v>62</v>
      </c>
      <c r="G43" s="1625"/>
      <c r="H43" s="1626"/>
      <c r="I43" s="48"/>
      <c r="J43" s="48"/>
      <c r="K43" s="48"/>
      <c r="L43" s="37" t="str">
        <f t="shared" si="2"/>
        <v>No</v>
      </c>
      <c r="M43" s="57" t="str">
        <f t="shared" si="3"/>
        <v>No</v>
      </c>
    </row>
    <row r="44" spans="1:13" x14ac:dyDescent="0.25">
      <c r="A44" s="48"/>
      <c r="B44" s="49"/>
      <c r="C44" s="49"/>
      <c r="D44" s="49"/>
      <c r="E44" s="49"/>
      <c r="F44" s="48"/>
      <c r="G44" s="48"/>
      <c r="H44" s="48"/>
      <c r="I44" s="48"/>
      <c r="J44" s="48"/>
      <c r="K44" s="48"/>
    </row>
    <row r="45" spans="1:13" ht="18" customHeight="1" x14ac:dyDescent="0.25">
      <c r="A45" s="48"/>
      <c r="B45" s="2383" t="s">
        <v>2210</v>
      </c>
      <c r="C45" s="2384"/>
      <c r="D45" s="2384"/>
      <c r="E45" s="2384"/>
      <c r="F45" s="2384"/>
      <c r="G45" s="1063" t="str">
        <f>IF('Project information'!$C$7="Full Certification stage","Completed?","To be completed?")</f>
        <v>To be completed?</v>
      </c>
      <c r="H45" s="48"/>
      <c r="I45" s="48"/>
      <c r="J45" s="48"/>
      <c r="K45" s="48"/>
    </row>
    <row r="46" spans="1:13" ht="18" customHeight="1" x14ac:dyDescent="0.25">
      <c r="A46" s="48"/>
      <c r="B46" s="2440" t="s">
        <v>1957</v>
      </c>
      <c r="C46" s="2441"/>
      <c r="D46" s="2441"/>
      <c r="E46" s="2441"/>
      <c r="F46" s="2441"/>
      <c r="G46" s="2441"/>
      <c r="H46" s="48"/>
      <c r="I46" s="48"/>
      <c r="J46" s="48"/>
      <c r="K46" s="48"/>
    </row>
    <row r="47" spans="1:13" ht="18" customHeight="1" x14ac:dyDescent="0.25">
      <c r="A47" s="48"/>
      <c r="B47" s="1644" t="s">
        <v>1954</v>
      </c>
      <c r="C47" s="1645"/>
      <c r="D47" s="1645"/>
      <c r="E47" s="1645"/>
      <c r="F47" s="1646"/>
      <c r="G47" s="1058" t="s">
        <v>62</v>
      </c>
      <c r="H47" s="48"/>
      <c r="I47" s="48"/>
      <c r="J47" s="48"/>
      <c r="K47" s="48"/>
    </row>
    <row r="48" spans="1:13" ht="18" customHeight="1" x14ac:dyDescent="0.25">
      <c r="A48" s="48"/>
      <c r="B48" s="1644" t="s">
        <v>2601</v>
      </c>
      <c r="C48" s="1645"/>
      <c r="D48" s="1645"/>
      <c r="E48" s="1645"/>
      <c r="F48" s="1646"/>
      <c r="G48" s="1058" t="s">
        <v>62</v>
      </c>
      <c r="H48" s="48"/>
      <c r="I48" s="48"/>
      <c r="J48" s="48"/>
      <c r="K48" s="48"/>
    </row>
    <row r="49" spans="1:13" ht="18" customHeight="1" x14ac:dyDescent="0.25">
      <c r="A49" s="48"/>
      <c r="B49" s="1644" t="s">
        <v>1955</v>
      </c>
      <c r="C49" s="1645"/>
      <c r="D49" s="1645"/>
      <c r="E49" s="1645"/>
      <c r="F49" s="1646"/>
      <c r="G49" s="1058" t="s">
        <v>62</v>
      </c>
      <c r="H49" s="48"/>
      <c r="I49" s="48"/>
      <c r="J49" s="48"/>
      <c r="K49" s="48"/>
    </row>
    <row r="50" spans="1:13" ht="18" customHeight="1" x14ac:dyDescent="0.25">
      <c r="A50" s="48"/>
      <c r="B50" s="2440" t="s">
        <v>1956</v>
      </c>
      <c r="C50" s="2441"/>
      <c r="D50" s="2441"/>
      <c r="E50" s="2441"/>
      <c r="F50" s="2441"/>
      <c r="G50" s="2441" t="str">
        <f>IF('Project information'!$C$7="Full Certification stage","Completed?","To be completed?")</f>
        <v>To be completed?</v>
      </c>
      <c r="H50" s="48"/>
      <c r="I50" s="48"/>
      <c r="J50" s="48"/>
      <c r="K50" s="48"/>
    </row>
    <row r="51" spans="1:13" ht="18" customHeight="1" x14ac:dyDescent="0.25">
      <c r="A51" s="48"/>
      <c r="B51" s="1644" t="s">
        <v>1958</v>
      </c>
      <c r="C51" s="1645"/>
      <c r="D51" s="1645"/>
      <c r="E51" s="1645"/>
      <c r="F51" s="1646"/>
      <c r="G51" s="1058" t="s">
        <v>62</v>
      </c>
      <c r="H51" s="48"/>
      <c r="I51" s="48"/>
      <c r="J51" s="48"/>
      <c r="K51" s="48"/>
    </row>
    <row r="52" spans="1:13" ht="18" customHeight="1" x14ac:dyDescent="0.25">
      <c r="A52" s="48"/>
      <c r="B52" s="49"/>
      <c r="C52" s="49"/>
      <c r="D52" s="49"/>
      <c r="E52" s="49"/>
      <c r="F52" s="48"/>
      <c r="G52" s="48"/>
      <c r="H52" s="48"/>
      <c r="I52" s="48"/>
      <c r="J52" s="48"/>
      <c r="K52" s="48"/>
    </row>
    <row r="53" spans="1:13" ht="19.5" customHeight="1" x14ac:dyDescent="0.25">
      <c r="A53" s="48"/>
      <c r="B53" s="2382" t="s">
        <v>1596</v>
      </c>
      <c r="C53" s="2382"/>
      <c r="D53" s="2382"/>
      <c r="E53" s="125" t="str">
        <f>IF(COUNTIF(M37:M43,"Yes")=7,"No",IF(COUNTIF(L37:L43,"Yes")=7,IF(AND(G47="Yes",G48="Yes",G49="Yes",OR(G51="Yes",G51="N/A")),"Yes","No"),"No"))</f>
        <v>No</v>
      </c>
      <c r="F53" s="48"/>
      <c r="G53" s="48"/>
      <c r="H53" s="48"/>
      <c r="I53" s="48"/>
      <c r="J53" s="48"/>
      <c r="K53" s="48"/>
    </row>
    <row r="54" spans="1:13" ht="19.5" customHeight="1" x14ac:dyDescent="0.25">
      <c r="A54" s="317"/>
      <c r="B54" s="317"/>
      <c r="C54" s="317"/>
      <c r="D54" s="317"/>
      <c r="E54" s="317"/>
      <c r="F54" s="317"/>
      <c r="G54" s="317"/>
      <c r="H54" s="317"/>
      <c r="I54" s="317"/>
      <c r="J54" s="317"/>
      <c r="K54" s="317"/>
    </row>
    <row r="55" spans="1:13" x14ac:dyDescent="0.25">
      <c r="A55" s="48"/>
      <c r="B55" s="49"/>
      <c r="C55" s="49"/>
      <c r="D55" s="49"/>
      <c r="E55" s="48"/>
      <c r="F55" s="48"/>
      <c r="G55" s="48"/>
      <c r="H55" s="48"/>
      <c r="I55" s="48"/>
      <c r="J55" s="48"/>
      <c r="K55" s="48"/>
    </row>
    <row r="56" spans="1:13" x14ac:dyDescent="0.25">
      <c r="A56" s="48"/>
      <c r="B56" s="708" t="s">
        <v>1735</v>
      </c>
      <c r="C56" s="49"/>
      <c r="D56" s="49"/>
      <c r="E56" s="49"/>
      <c r="F56" s="48"/>
      <c r="G56" s="48"/>
      <c r="H56" s="48"/>
      <c r="I56" s="48"/>
      <c r="J56" s="48"/>
      <c r="K56" s="48"/>
    </row>
    <row r="57" spans="1:13" x14ac:dyDescent="0.25">
      <c r="A57" s="48"/>
      <c r="B57" s="721"/>
      <c r="C57" s="721"/>
      <c r="D57" s="721"/>
      <c r="E57" s="721"/>
      <c r="F57" s="721"/>
      <c r="G57" s="721"/>
      <c r="H57" s="721"/>
      <c r="I57" s="721"/>
      <c r="J57" s="48"/>
      <c r="K57" s="48"/>
    </row>
    <row r="58" spans="1:13" x14ac:dyDescent="0.25">
      <c r="A58" s="48"/>
      <c r="B58" s="1766" t="s">
        <v>2211</v>
      </c>
      <c r="C58" s="1767"/>
      <c r="D58" s="1767"/>
      <c r="E58" s="1767"/>
      <c r="F58" s="1767"/>
      <c r="G58" s="1767"/>
      <c r="H58" s="1767"/>
      <c r="I58" s="1768"/>
      <c r="J58" s="48"/>
      <c r="K58" s="48"/>
      <c r="L58" s="49"/>
    </row>
    <row r="59" spans="1:13" x14ac:dyDescent="0.25">
      <c r="A59" s="48"/>
      <c r="B59" s="1726" t="s">
        <v>2206</v>
      </c>
      <c r="C59" s="1727"/>
      <c r="D59" s="1727"/>
      <c r="E59" s="1727"/>
      <c r="F59" s="1727"/>
      <c r="G59" s="1727"/>
      <c r="H59" s="1727"/>
      <c r="I59" s="1728"/>
      <c r="J59" s="48"/>
      <c r="K59" s="48"/>
      <c r="L59" s="49"/>
    </row>
    <row r="60" spans="1:13" ht="27" customHeight="1" x14ac:dyDescent="0.25">
      <c r="A60" s="48"/>
      <c r="B60" s="2442" t="s">
        <v>2207</v>
      </c>
      <c r="C60" s="2443"/>
      <c r="D60" s="2443"/>
      <c r="E60" s="2443"/>
      <c r="F60" s="2443"/>
      <c r="G60" s="2443"/>
      <c r="H60" s="2443"/>
      <c r="I60" s="2444"/>
      <c r="J60" s="48"/>
      <c r="K60" s="48"/>
      <c r="L60" s="49"/>
    </row>
    <row r="61" spans="1:13" ht="27" customHeight="1" x14ac:dyDescent="0.25">
      <c r="A61" s="48"/>
      <c r="B61" s="2445" t="s">
        <v>2208</v>
      </c>
      <c r="C61" s="2446"/>
      <c r="D61" s="2446"/>
      <c r="E61" s="2446"/>
      <c r="F61" s="2446"/>
      <c r="G61" s="2446"/>
      <c r="H61" s="2446"/>
      <c r="I61" s="2447"/>
      <c r="J61" s="48"/>
      <c r="K61" s="48"/>
      <c r="L61" s="49"/>
    </row>
    <row r="62" spans="1:13" ht="16.5" customHeight="1" x14ac:dyDescent="0.25">
      <c r="A62" s="48"/>
      <c r="B62" s="48"/>
      <c r="C62" s="48"/>
      <c r="D62" s="48"/>
      <c r="E62" s="48"/>
      <c r="F62" s="48"/>
      <c r="G62" s="48"/>
      <c r="H62" s="48"/>
      <c r="I62" s="48"/>
      <c r="J62" s="48"/>
      <c r="K62" s="48"/>
      <c r="L62" s="57"/>
      <c r="M62" s="57"/>
    </row>
    <row r="63" spans="1:13" ht="18" customHeight="1" x14ac:dyDescent="0.25">
      <c r="A63" s="48"/>
      <c r="B63" s="671" t="s">
        <v>2209</v>
      </c>
      <c r="C63" s="48"/>
      <c r="D63" s="48"/>
      <c r="E63" s="48"/>
      <c r="F63" s="48"/>
      <c r="G63" s="48"/>
      <c r="H63" s="48"/>
      <c r="I63" s="48"/>
      <c r="J63" s="48"/>
      <c r="K63" s="48"/>
      <c r="L63" s="57"/>
      <c r="M63" s="57"/>
    </row>
    <row r="64" spans="1:13" ht="12" customHeight="1" x14ac:dyDescent="0.25">
      <c r="A64" s="48"/>
      <c r="B64" s="121"/>
      <c r="C64" s="49"/>
      <c r="D64" s="49"/>
      <c r="E64" s="49"/>
      <c r="F64" s="48"/>
      <c r="G64" s="48"/>
      <c r="H64" s="48"/>
      <c r="I64" s="48"/>
      <c r="J64" s="48"/>
      <c r="K64" s="48"/>
      <c r="L64" s="57"/>
      <c r="M64" s="57"/>
    </row>
    <row r="65" spans="1:13" ht="19.5" customHeight="1" x14ac:dyDescent="0.25">
      <c r="A65" s="48"/>
      <c r="B65" s="2001" t="str">
        <f>IF('Project information'!$C$7="Full Certification stage","• Has an independent commissioning agent been hired?","• Will an independent commissioning agent be hired?")</f>
        <v>• Will an independent commissioning agent be hired?</v>
      </c>
      <c r="C65" s="2002"/>
      <c r="D65" s="2003"/>
      <c r="E65" s="1273" t="s">
        <v>0</v>
      </c>
      <c r="F65" s="48"/>
      <c r="G65" s="48"/>
      <c r="H65" s="48"/>
      <c r="I65" s="48"/>
      <c r="J65" s="48"/>
      <c r="K65" s="48"/>
      <c r="L65" s="57"/>
      <c r="M65" s="57"/>
    </row>
    <row r="66" spans="1:13" ht="15" customHeight="1" x14ac:dyDescent="0.25">
      <c r="A66" s="48"/>
      <c r="B66" s="48"/>
      <c r="C66" s="48"/>
      <c r="D66" s="48"/>
      <c r="E66" s="48"/>
      <c r="F66" s="48"/>
      <c r="G66" s="48"/>
      <c r="H66" s="48"/>
      <c r="I66" s="48"/>
      <c r="J66" s="48"/>
      <c r="K66" s="48"/>
      <c r="L66" s="49"/>
      <c r="M66" s="57"/>
    </row>
    <row r="67" spans="1:13" ht="18" customHeight="1" x14ac:dyDescent="0.25">
      <c r="A67" s="48"/>
      <c r="B67" s="2383" t="s">
        <v>1703</v>
      </c>
      <c r="C67" s="2384"/>
      <c r="D67" s="2384"/>
      <c r="E67" s="2384"/>
      <c r="F67" s="48"/>
      <c r="G67" s="48"/>
      <c r="H67" s="48"/>
      <c r="I67" s="48"/>
      <c r="J67" s="48"/>
      <c r="K67" s="48"/>
      <c r="L67" s="49"/>
    </row>
    <row r="68" spans="1:13" ht="18" customHeight="1" x14ac:dyDescent="0.25">
      <c r="A68" s="48"/>
      <c r="B68" s="1644" t="str">
        <f>IF('Project information'!$C$7="Full Certification stage","• Have owner's project requirements been produced?","• Will owner's project requirements be produced?")</f>
        <v>• Will owner's project requirements be produced?</v>
      </c>
      <c r="C68" s="1645"/>
      <c r="D68" s="1646"/>
      <c r="E68" s="1273" t="s">
        <v>0</v>
      </c>
      <c r="F68" s="48"/>
      <c r="G68" s="48"/>
      <c r="H68" s="48"/>
      <c r="I68" s="48"/>
      <c r="J68" s="48"/>
      <c r="K68" s="48"/>
      <c r="L68" s="49"/>
    </row>
    <row r="69" spans="1:13" ht="18" customHeight="1" x14ac:dyDescent="0.25">
      <c r="A69" s="48"/>
      <c r="B69" s="1644" t="str">
        <f>IF('Project information'!$C$7="Full Certification stage","• Has a basis of design been produced?","• Will a basis of design be produced?")</f>
        <v>• Will a basis of design be produced?</v>
      </c>
      <c r="C69" s="1645"/>
      <c r="D69" s="1646"/>
      <c r="E69" s="1273" t="s">
        <v>0</v>
      </c>
      <c r="F69" s="48"/>
      <c r="G69" s="48"/>
      <c r="H69" s="48"/>
      <c r="I69" s="48"/>
      <c r="J69" s="48"/>
      <c r="K69" s="48"/>
      <c r="L69" s="49"/>
    </row>
    <row r="70" spans="1:13" x14ac:dyDescent="0.25">
      <c r="A70" s="48"/>
      <c r="B70" s="48"/>
      <c r="C70" s="48"/>
      <c r="D70" s="48"/>
      <c r="E70" s="1070"/>
      <c r="F70" s="48"/>
      <c r="G70" s="48"/>
      <c r="H70" s="48"/>
      <c r="I70" s="48"/>
      <c r="J70" s="48"/>
      <c r="K70" s="48"/>
      <c r="L70" s="49"/>
    </row>
    <row r="71" spans="1:13" x14ac:dyDescent="0.25">
      <c r="A71" s="48"/>
      <c r="B71" s="792" t="s">
        <v>1283</v>
      </c>
      <c r="C71" s="1275"/>
      <c r="D71" s="1275"/>
      <c r="E71" s="1275"/>
      <c r="F71" s="48"/>
      <c r="G71" s="48"/>
      <c r="H71" s="48"/>
      <c r="I71" s="48"/>
      <c r="J71" s="48"/>
      <c r="K71" s="48"/>
      <c r="L71" s="57"/>
      <c r="M71" s="57"/>
    </row>
    <row r="72" spans="1:13" ht="18" customHeight="1" x14ac:dyDescent="0.25">
      <c r="A72" s="48"/>
      <c r="B72" s="2388" t="s">
        <v>1284</v>
      </c>
      <c r="C72" s="2389"/>
      <c r="D72" s="1648"/>
      <c r="E72" s="1648"/>
      <c r="F72" s="1648"/>
      <c r="G72" s="48"/>
      <c r="H72" s="48"/>
      <c r="I72" s="48"/>
      <c r="J72" s="48"/>
      <c r="K72" s="48"/>
      <c r="L72" s="57"/>
      <c r="M72" s="57"/>
    </row>
    <row r="73" spans="1:13" ht="27" customHeight="1" x14ac:dyDescent="0.25">
      <c r="A73" s="48"/>
      <c r="B73" s="2388" t="s">
        <v>1286</v>
      </c>
      <c r="C73" s="2389"/>
      <c r="D73" s="1648"/>
      <c r="E73" s="1648"/>
      <c r="F73" s="1648"/>
      <c r="G73" s="48"/>
      <c r="H73" s="48"/>
      <c r="I73" s="48"/>
      <c r="J73" s="48"/>
      <c r="K73" s="48"/>
      <c r="L73" s="57"/>
      <c r="M73" s="57"/>
    </row>
    <row r="74" spans="1:13" ht="27" customHeight="1" x14ac:dyDescent="0.25">
      <c r="A74" s="48"/>
      <c r="B74" s="2388" t="s">
        <v>1285</v>
      </c>
      <c r="C74" s="2389"/>
      <c r="D74" s="1648"/>
      <c r="E74" s="1648"/>
      <c r="F74" s="1648"/>
      <c r="G74" s="48"/>
      <c r="H74" s="48"/>
      <c r="I74" s="48"/>
      <c r="J74" s="48"/>
      <c r="K74" s="48"/>
      <c r="L74" s="57"/>
      <c r="M74" s="57"/>
    </row>
    <row r="75" spans="1:13" ht="27" customHeight="1" x14ac:dyDescent="0.25">
      <c r="A75" s="48"/>
      <c r="B75" s="2388" t="s">
        <v>1287</v>
      </c>
      <c r="C75" s="2389"/>
      <c r="D75" s="1648"/>
      <c r="E75" s="1648"/>
      <c r="F75" s="1648"/>
      <c r="G75" s="48"/>
      <c r="H75" s="48"/>
      <c r="I75" s="48"/>
      <c r="J75" s="48"/>
      <c r="K75" s="48"/>
      <c r="L75" s="57"/>
      <c r="M75" s="57"/>
    </row>
    <row r="76" spans="1:13" ht="16.5" customHeight="1" x14ac:dyDescent="0.25">
      <c r="A76" s="48"/>
      <c r="B76" s="49"/>
      <c r="C76" s="49"/>
      <c r="D76" s="49"/>
      <c r="E76" s="49"/>
      <c r="F76" s="48"/>
      <c r="G76" s="48"/>
      <c r="H76" s="48"/>
      <c r="I76" s="48"/>
      <c r="J76" s="48"/>
      <c r="K76" s="48"/>
    </row>
    <row r="77" spans="1:13" ht="18" customHeight="1" x14ac:dyDescent="0.25">
      <c r="A77" s="48"/>
      <c r="B77" s="2382" t="s">
        <v>1145</v>
      </c>
      <c r="C77" s="2382"/>
      <c r="D77" s="2382"/>
      <c r="E77" s="157" t="str">
        <f>IF(AND(E65="Yes",E68="Yes",E69="Yes",D72&lt;&gt;"",D73:E73&lt;&gt;"",D74&lt;&gt;"",D75&lt;&gt;""),"Yes","No")</f>
        <v>No</v>
      </c>
      <c r="F77" s="48"/>
      <c r="G77" s="48"/>
      <c r="H77" s="48"/>
      <c r="I77" s="48"/>
      <c r="J77" s="48"/>
      <c r="K77" s="48"/>
    </row>
    <row r="78" spans="1:13" ht="19.5" customHeight="1" x14ac:dyDescent="0.25">
      <c r="A78" s="48"/>
      <c r="B78" s="49"/>
      <c r="C78" s="49"/>
      <c r="D78" s="49"/>
      <c r="E78" s="49"/>
      <c r="F78" s="48"/>
      <c r="G78" s="48"/>
      <c r="H78" s="48"/>
      <c r="I78" s="48"/>
      <c r="J78" s="48"/>
      <c r="K78" s="48"/>
    </row>
    <row r="79" spans="1:13" ht="16.5" customHeight="1" x14ac:dyDescent="0.25">
      <c r="A79" s="2403" t="s">
        <v>97</v>
      </c>
      <c r="B79" s="2403"/>
      <c r="C79" s="2403"/>
      <c r="D79" s="49"/>
      <c r="E79" s="49"/>
      <c r="F79" s="49"/>
      <c r="G79" s="49"/>
      <c r="H79" s="49"/>
      <c r="I79" s="49"/>
      <c r="J79" s="49"/>
      <c r="K79" s="49"/>
    </row>
    <row r="80" spans="1:13" x14ac:dyDescent="0.25">
      <c r="A80" s="48"/>
      <c r="B80" s="49"/>
      <c r="C80" s="49"/>
      <c r="D80" s="49"/>
      <c r="E80" s="48"/>
      <c r="F80" s="48"/>
      <c r="G80" s="48"/>
      <c r="H80" s="48"/>
      <c r="I80" s="48"/>
      <c r="J80" s="48"/>
      <c r="K80" s="48"/>
    </row>
    <row r="81" spans="1:12" ht="21" customHeight="1" x14ac:dyDescent="0.25">
      <c r="A81" s="48"/>
      <c r="B81" s="2383" t="s">
        <v>2411</v>
      </c>
      <c r="C81" s="2384"/>
      <c r="D81" s="2384"/>
      <c r="E81" s="2384"/>
      <c r="F81" s="2384"/>
      <c r="G81" s="1276" t="s">
        <v>1297</v>
      </c>
      <c r="H81" s="2385" t="s">
        <v>1298</v>
      </c>
      <c r="I81" s="2386"/>
      <c r="J81" s="48"/>
      <c r="K81" s="48"/>
    </row>
    <row r="82" spans="1:12" ht="65.25" customHeight="1" x14ac:dyDescent="0.25">
      <c r="A82" s="48"/>
      <c r="B82" s="1644" t="str">
        <f>Submittals!H178</f>
        <v>Select the Submission Stage in Project Information</v>
      </c>
      <c r="C82" s="1645"/>
      <c r="D82" s="1645"/>
      <c r="E82" s="1645"/>
      <c r="F82" s="1646"/>
      <c r="G82" s="1274" t="s">
        <v>62</v>
      </c>
      <c r="H82" s="1625"/>
      <c r="I82" s="1626"/>
      <c r="J82" s="48"/>
      <c r="K82" s="48"/>
      <c r="L82" s="37" t="str">
        <f>IF(OR(B82="/",B82="No evidence required at this submission stage"),"Yes",IF(G82="Submitted","Yes","No"))</f>
        <v>No</v>
      </c>
    </row>
    <row r="83" spans="1:12" ht="24" hidden="1" customHeight="1" x14ac:dyDescent="0.25">
      <c r="A83" s="48"/>
      <c r="B83" s="1644" t="str">
        <f>Submittals!H179</f>
        <v>Select the Submission Stage in Project Information</v>
      </c>
      <c r="C83" s="1645"/>
      <c r="D83" s="1645"/>
      <c r="E83" s="1645"/>
      <c r="F83" s="1646"/>
      <c r="G83" s="1274" t="s">
        <v>62</v>
      </c>
      <c r="H83" s="1684"/>
      <c r="I83" s="2239"/>
      <c r="J83" s="48"/>
      <c r="K83" s="48"/>
      <c r="L83" s="37" t="str">
        <f>IF(OR(B83="/",B83="No evidence required at this submission stage"),"Yes",IF(G83="Submitted","Yes","No"))</f>
        <v>No</v>
      </c>
    </row>
    <row r="84" spans="1:12" x14ac:dyDescent="0.25">
      <c r="A84" s="48"/>
      <c r="B84" s="48"/>
      <c r="C84" s="48"/>
      <c r="D84" s="48"/>
      <c r="E84" s="48"/>
      <c r="F84" s="48"/>
      <c r="G84" s="48"/>
      <c r="H84" s="48"/>
      <c r="I84" s="48"/>
      <c r="J84" s="48"/>
      <c r="K84" s="48"/>
    </row>
    <row r="85" spans="1:12" ht="21" customHeight="1" x14ac:dyDescent="0.25">
      <c r="A85" s="48"/>
      <c r="B85" s="2383" t="s">
        <v>2597</v>
      </c>
      <c r="C85" s="2384"/>
      <c r="D85" s="2384"/>
      <c r="E85" s="2384"/>
      <c r="F85" s="2384"/>
      <c r="G85" s="1276" t="s">
        <v>1297</v>
      </c>
      <c r="H85" s="2385" t="s">
        <v>1298</v>
      </c>
      <c r="I85" s="2386"/>
      <c r="J85" s="48"/>
      <c r="K85" s="48"/>
    </row>
    <row r="86" spans="1:12" ht="30" customHeight="1" x14ac:dyDescent="0.25">
      <c r="A86" s="48"/>
      <c r="B86" s="1644" t="str">
        <f>Submittals!H180</f>
        <v>Select the Submission Stage in Project Information</v>
      </c>
      <c r="C86" s="1645"/>
      <c r="D86" s="1645"/>
      <c r="E86" s="1645"/>
      <c r="F86" s="1646"/>
      <c r="G86" s="1273" t="s">
        <v>2038</v>
      </c>
      <c r="H86" s="1625"/>
      <c r="I86" s="1626"/>
      <c r="J86" s="48"/>
      <c r="K86" s="48"/>
      <c r="L86" s="37" t="str">
        <f>IF(OR(B86="/",B86="No evidence required at this submission stage"),"Yes",IF(G86="Submitted","Yes","No"))</f>
        <v>Yes</v>
      </c>
    </row>
    <row r="87" spans="1:12" ht="30" customHeight="1" x14ac:dyDescent="0.25">
      <c r="A87" s="48"/>
      <c r="B87" s="1644" t="str">
        <f>Submittals!H181</f>
        <v>Select the Submission Stage in Project Information</v>
      </c>
      <c r="C87" s="1645"/>
      <c r="D87" s="1645"/>
      <c r="E87" s="1645"/>
      <c r="F87" s="1646"/>
      <c r="G87" s="1273" t="s">
        <v>2038</v>
      </c>
      <c r="H87" s="1625"/>
      <c r="I87" s="1626"/>
      <c r="J87" s="48"/>
      <c r="K87" s="48"/>
      <c r="L87" s="37" t="str">
        <f>IF(OR(B87="/",B87="No evidence required at this submission stage"),"Yes",IF(G87="Submitted","Yes","No"))</f>
        <v>Yes</v>
      </c>
    </row>
    <row r="88" spans="1:12" ht="30" customHeight="1" x14ac:dyDescent="0.25">
      <c r="A88" s="48"/>
      <c r="B88" s="1644" t="str">
        <f>Submittals!H182</f>
        <v>Select the Submission Stage in Project Information</v>
      </c>
      <c r="C88" s="1645"/>
      <c r="D88" s="1645"/>
      <c r="E88" s="1645"/>
      <c r="F88" s="1646"/>
      <c r="G88" s="1273" t="s">
        <v>2038</v>
      </c>
      <c r="H88" s="1625"/>
      <c r="I88" s="1626"/>
      <c r="J88" s="48"/>
      <c r="K88" s="48"/>
      <c r="L88" s="37" t="str">
        <f>IF(OR(B88="/",B88="No evidence required at this submission stage"),"Yes",IF(G88="Submitted","Yes","No"))</f>
        <v>Yes</v>
      </c>
    </row>
    <row r="89" spans="1:12" ht="18" customHeight="1" x14ac:dyDescent="0.25">
      <c r="A89" s="48"/>
      <c r="B89" s="49"/>
      <c r="C89" s="49"/>
      <c r="D89" s="49"/>
      <c r="E89" s="48"/>
      <c r="F89" s="48"/>
      <c r="G89" s="48"/>
      <c r="H89" s="48"/>
      <c r="I89" s="48"/>
      <c r="J89" s="48"/>
      <c r="K89" s="48"/>
    </row>
    <row r="90" spans="1:12" ht="16.5" customHeight="1" x14ac:dyDescent="0.25">
      <c r="A90" s="2403" t="s">
        <v>8</v>
      </c>
      <c r="B90" s="2403"/>
      <c r="C90" s="2403"/>
      <c r="D90" s="49"/>
      <c r="E90" s="49"/>
      <c r="F90" s="49"/>
      <c r="G90" s="49"/>
      <c r="H90" s="49"/>
      <c r="I90" s="49"/>
      <c r="J90" s="49"/>
      <c r="K90" s="49"/>
    </row>
    <row r="91" spans="1:12" x14ac:dyDescent="0.25">
      <c r="A91" s="48"/>
      <c r="B91" s="49"/>
      <c r="C91" s="49"/>
      <c r="D91" s="49"/>
      <c r="E91" s="49"/>
      <c r="F91" s="48"/>
      <c r="G91" s="48"/>
      <c r="H91" s="48"/>
      <c r="I91" s="48"/>
      <c r="J91" s="48"/>
      <c r="K91" s="48"/>
    </row>
    <row r="92" spans="1:12" ht="18" customHeight="1" x14ac:dyDescent="0.25">
      <c r="A92" s="48"/>
      <c r="B92" s="156" t="s">
        <v>19</v>
      </c>
      <c r="C92" s="8">
        <f>IF(E53="Yes",IF(E77="Yes",2,1),0)</f>
        <v>0</v>
      </c>
      <c r="D92" s="49"/>
      <c r="E92" s="48"/>
      <c r="F92" s="48"/>
      <c r="G92" s="48"/>
      <c r="H92" s="48"/>
      <c r="I92" s="48"/>
      <c r="J92" s="48"/>
      <c r="K92" s="48"/>
    </row>
    <row r="93" spans="1:12" ht="18" customHeight="1" x14ac:dyDescent="0.25">
      <c r="A93" s="48"/>
      <c r="B93" s="156" t="s">
        <v>151</v>
      </c>
      <c r="C93" s="116" t="str">
        <f>IF(AND(L82="Yes",L83="Yes",C92=1),"Yes",IF(AND(L86="Yes",L87="Yes",L88="Yes",L82="Yes",L83="Yes",C92=2),"Yes","No"))</f>
        <v>No</v>
      </c>
      <c r="D93" s="49"/>
      <c r="E93" s="49"/>
      <c r="F93" s="48"/>
      <c r="G93" s="48"/>
      <c r="H93" s="48"/>
      <c r="I93" s="48"/>
      <c r="J93" s="48"/>
      <c r="K93" s="48"/>
    </row>
    <row r="94" spans="1:12" ht="21" customHeight="1" x14ac:dyDescent="0.25">
      <c r="A94" s="48"/>
      <c r="B94" s="49"/>
      <c r="C94" s="49"/>
      <c r="D94" s="49"/>
      <c r="E94" s="49"/>
      <c r="F94" s="48"/>
      <c r="G94" s="48"/>
      <c r="H94" s="48"/>
      <c r="I94" s="48"/>
      <c r="J94" s="48"/>
      <c r="K94" s="48"/>
    </row>
    <row r="95" spans="1:12" ht="18" customHeight="1" x14ac:dyDescent="0.25">
      <c r="A95" s="2381" t="s">
        <v>2598</v>
      </c>
      <c r="B95" s="2381"/>
      <c r="C95" s="2381"/>
      <c r="D95" s="2381"/>
      <c r="E95" s="2381"/>
      <c r="F95" s="2381"/>
      <c r="G95" s="2381"/>
      <c r="H95" s="2381"/>
      <c r="I95" s="2381"/>
      <c r="J95" s="2381"/>
      <c r="K95" s="2381"/>
    </row>
    <row r="96" spans="1:12" x14ac:dyDescent="0.25">
      <c r="A96" s="48"/>
      <c r="B96" s="49"/>
      <c r="C96" s="49"/>
      <c r="D96" s="49"/>
      <c r="E96" s="49"/>
      <c r="F96" s="48"/>
      <c r="G96" s="48"/>
      <c r="H96" s="48"/>
      <c r="I96" s="48"/>
      <c r="J96" s="48"/>
      <c r="K96" s="48"/>
    </row>
    <row r="97" spans="1:11" ht="16.5" customHeight="1" x14ac:dyDescent="0.25">
      <c r="A97" s="2439" t="s">
        <v>117</v>
      </c>
      <c r="B97" s="2439"/>
      <c r="C97" s="2439"/>
      <c r="D97" s="49"/>
      <c r="E97" s="49"/>
      <c r="F97" s="48"/>
      <c r="G97" s="48"/>
      <c r="H97" s="48"/>
      <c r="I97" s="48"/>
      <c r="J97" s="48"/>
      <c r="K97" s="48"/>
    </row>
    <row r="98" spans="1:11" x14ac:dyDescent="0.25">
      <c r="A98" s="48"/>
      <c r="B98" s="49"/>
      <c r="C98" s="49"/>
      <c r="D98" s="49"/>
      <c r="E98" s="49"/>
      <c r="F98" s="48"/>
      <c r="G98" s="48"/>
      <c r="H98" s="48"/>
      <c r="I98" s="48"/>
      <c r="J98" s="48"/>
      <c r="K98" s="48"/>
    </row>
    <row r="99" spans="1:11" ht="16.5" customHeight="1" x14ac:dyDescent="0.25">
      <c r="A99" s="48"/>
      <c r="B99" s="2430" t="s">
        <v>1595</v>
      </c>
      <c r="C99" s="2430"/>
      <c r="D99" s="2430"/>
      <c r="E99" s="2430"/>
      <c r="F99" s="2430"/>
      <c r="G99" s="2430"/>
      <c r="H99" s="2430"/>
      <c r="I99" s="2430"/>
      <c r="J99" s="48"/>
      <c r="K99" s="48"/>
    </row>
    <row r="100" spans="1:11" ht="12" customHeight="1" x14ac:dyDescent="0.25">
      <c r="A100" s="48"/>
      <c r="B100" s="1117"/>
      <c r="C100" s="1117"/>
      <c r="D100" s="1117"/>
      <c r="E100" s="1117"/>
      <c r="F100" s="1117"/>
      <c r="G100" s="1117"/>
      <c r="H100" s="1117"/>
      <c r="I100" s="1117"/>
      <c r="J100" s="48"/>
      <c r="K100" s="48"/>
    </row>
    <row r="101" spans="1:11" ht="16.5" customHeight="1" x14ac:dyDescent="0.25">
      <c r="A101" s="48"/>
      <c r="B101" s="1644" t="str">
        <f>IF('Project information'!$C$7="Full Certification stage","• Has an on-going commissioning plan been prepared?","• Will an on-going commissioning plan be prepared?")</f>
        <v>• Will an on-going commissioning plan be prepared?</v>
      </c>
      <c r="C101" s="1645"/>
      <c r="D101" s="1646"/>
      <c r="E101" s="958" t="s">
        <v>62</v>
      </c>
      <c r="F101" s="48"/>
      <c r="G101" s="48"/>
      <c r="H101" s="48"/>
      <c r="I101" s="48"/>
      <c r="J101" s="48"/>
      <c r="K101" s="48"/>
    </row>
    <row r="102" spans="1:11" ht="16.5" customHeight="1" x14ac:dyDescent="0.25">
      <c r="A102" s="48"/>
      <c r="B102" s="49"/>
      <c r="C102" s="49"/>
      <c r="D102" s="49"/>
      <c r="E102" s="48"/>
      <c r="F102" s="48"/>
      <c r="G102" s="48"/>
      <c r="H102" s="48"/>
      <c r="I102" s="48"/>
      <c r="J102" s="48"/>
      <c r="K102" s="48"/>
    </row>
    <row r="103" spans="1:11" ht="16.5" customHeight="1" x14ac:dyDescent="0.25">
      <c r="A103" s="48"/>
      <c r="B103" s="2411" t="s">
        <v>1933</v>
      </c>
      <c r="C103" s="2412"/>
      <c r="D103" s="2412"/>
      <c r="E103" s="2412"/>
      <c r="F103" s="2412"/>
      <c r="G103" s="2412"/>
      <c r="H103" s="2412"/>
      <c r="I103" s="2412"/>
      <c r="J103" s="48"/>
      <c r="K103" s="48"/>
    </row>
    <row r="104" spans="1:11" ht="45" customHeight="1" x14ac:dyDescent="0.25">
      <c r="A104" s="48"/>
      <c r="B104" s="2431"/>
      <c r="C104" s="2432"/>
      <c r="D104" s="2432"/>
      <c r="E104" s="2432"/>
      <c r="F104" s="2432"/>
      <c r="G104" s="2432"/>
      <c r="H104" s="2432"/>
      <c r="I104" s="2432"/>
      <c r="J104" s="48"/>
      <c r="K104" s="48"/>
    </row>
    <row r="105" spans="1:11" ht="16.5" customHeight="1" x14ac:dyDescent="0.25">
      <c r="A105" s="48"/>
      <c r="B105" s="49"/>
      <c r="C105" s="49"/>
      <c r="D105" s="49"/>
      <c r="E105" s="48"/>
      <c r="F105" s="48"/>
      <c r="G105" s="48"/>
      <c r="H105" s="48"/>
      <c r="I105" s="48"/>
      <c r="J105" s="48"/>
      <c r="K105" s="48"/>
    </row>
    <row r="106" spans="1:11" ht="16.5" customHeight="1" x14ac:dyDescent="0.25">
      <c r="A106" s="48"/>
      <c r="B106" s="2411" t="s">
        <v>1934</v>
      </c>
      <c r="C106" s="2412"/>
      <c r="D106" s="2412"/>
      <c r="E106" s="2412"/>
      <c r="F106" s="2412"/>
      <c r="G106" s="2412"/>
      <c r="H106" s="2412"/>
      <c r="I106" s="2412"/>
      <c r="J106" s="48"/>
      <c r="K106" s="48"/>
    </row>
    <row r="107" spans="1:11" ht="45" customHeight="1" x14ac:dyDescent="0.25">
      <c r="A107" s="48"/>
      <c r="B107" s="2431"/>
      <c r="C107" s="2432"/>
      <c r="D107" s="2432"/>
      <c r="E107" s="2432"/>
      <c r="F107" s="2432"/>
      <c r="G107" s="2432"/>
      <c r="H107" s="2432"/>
      <c r="I107" s="2432"/>
      <c r="J107" s="48"/>
      <c r="K107" s="48"/>
    </row>
    <row r="108" spans="1:11" ht="16.5" customHeight="1" x14ac:dyDescent="0.25">
      <c r="A108" s="48"/>
      <c r="B108" s="48"/>
      <c r="C108" s="48"/>
      <c r="D108" s="48"/>
      <c r="E108" s="48"/>
      <c r="F108" s="48"/>
      <c r="G108" s="48"/>
      <c r="H108" s="48"/>
      <c r="I108" s="48"/>
      <c r="J108" s="48"/>
      <c r="K108" s="48"/>
    </row>
    <row r="109" spans="1:11" ht="16.5" customHeight="1" x14ac:dyDescent="0.25">
      <c r="A109" s="48"/>
      <c r="B109" s="2411" t="s">
        <v>1935</v>
      </c>
      <c r="C109" s="2412"/>
      <c r="D109" s="2412"/>
      <c r="E109" s="2412"/>
      <c r="F109" s="2412"/>
      <c r="G109" s="2412"/>
      <c r="H109" s="2412"/>
      <c r="I109" s="2412"/>
      <c r="J109" s="48"/>
      <c r="K109" s="48"/>
    </row>
    <row r="110" spans="1:11" ht="45" customHeight="1" x14ac:dyDescent="0.25">
      <c r="A110" s="48"/>
      <c r="B110" s="2431"/>
      <c r="C110" s="2432"/>
      <c r="D110" s="2432"/>
      <c r="E110" s="2432"/>
      <c r="F110" s="2432"/>
      <c r="G110" s="2432"/>
      <c r="H110" s="2432"/>
      <c r="I110" s="2432"/>
      <c r="J110" s="48"/>
      <c r="K110" s="48"/>
    </row>
    <row r="111" spans="1:11" ht="16.5" customHeight="1" x14ac:dyDescent="0.25">
      <c r="A111" s="48"/>
      <c r="B111" s="48"/>
      <c r="C111" s="48"/>
      <c r="D111" s="48"/>
      <c r="E111" s="48"/>
      <c r="F111" s="48"/>
      <c r="G111" s="48"/>
      <c r="H111" s="48"/>
      <c r="I111" s="48"/>
      <c r="J111" s="48"/>
      <c r="K111" s="48"/>
    </row>
    <row r="112" spans="1:11" ht="18" customHeight="1" x14ac:dyDescent="0.25">
      <c r="A112" s="48"/>
      <c r="B112" s="2382" t="s">
        <v>1936</v>
      </c>
      <c r="C112" s="2382"/>
      <c r="D112" s="2382"/>
      <c r="E112" s="125" t="str">
        <f>IF(E101="Yes",IF(AND(B104&lt;&gt;"",B107&lt;&gt;"",B110&lt;&gt;""),"Yes","No"),"No")</f>
        <v>No</v>
      </c>
      <c r="F112" s="48"/>
      <c r="G112" s="48"/>
      <c r="H112" s="48"/>
      <c r="I112" s="48"/>
      <c r="J112" s="48"/>
      <c r="K112" s="48"/>
    </row>
    <row r="113" spans="1:12" ht="19.5" customHeight="1" x14ac:dyDescent="0.25">
      <c r="A113" s="48"/>
      <c r="B113" s="49"/>
      <c r="C113" s="49"/>
      <c r="D113" s="49"/>
      <c r="E113" s="48"/>
      <c r="F113" s="48"/>
      <c r="G113" s="48"/>
      <c r="H113" s="48"/>
      <c r="I113" s="48"/>
      <c r="J113" s="48"/>
      <c r="K113" s="48"/>
    </row>
    <row r="114" spans="1:12" ht="16.5" customHeight="1" x14ac:dyDescent="0.25">
      <c r="A114" s="2403" t="s">
        <v>97</v>
      </c>
      <c r="B114" s="2403"/>
      <c r="C114" s="2403"/>
      <c r="D114" s="49"/>
      <c r="E114" s="49"/>
      <c r="F114" s="49"/>
      <c r="G114" s="49"/>
      <c r="H114" s="49"/>
      <c r="I114" s="49"/>
      <c r="J114" s="49"/>
      <c r="K114" s="49"/>
    </row>
    <row r="115" spans="1:12" x14ac:dyDescent="0.25">
      <c r="A115" s="48"/>
      <c r="B115" s="49"/>
      <c r="C115" s="49"/>
      <c r="D115" s="49"/>
      <c r="E115" s="48"/>
      <c r="F115" s="48"/>
      <c r="G115" s="48"/>
      <c r="H115" s="48"/>
      <c r="I115" s="48"/>
      <c r="J115" s="48"/>
      <c r="K115" s="48"/>
    </row>
    <row r="116" spans="1:12" ht="21" customHeight="1" x14ac:dyDescent="0.25">
      <c r="A116" s="48"/>
      <c r="B116" s="2383" t="s">
        <v>98</v>
      </c>
      <c r="C116" s="2384"/>
      <c r="D116" s="2384"/>
      <c r="E116" s="2384"/>
      <c r="F116" s="2384"/>
      <c r="G116" s="830" t="s">
        <v>1297</v>
      </c>
      <c r="H116" s="2385" t="s">
        <v>1298</v>
      </c>
      <c r="I116" s="2386"/>
      <c r="J116" s="48"/>
      <c r="K116" s="48"/>
    </row>
    <row r="117" spans="1:12" ht="30" customHeight="1" x14ac:dyDescent="0.25">
      <c r="A117" s="48"/>
      <c r="B117" s="1644" t="str">
        <f>Submittals!H183</f>
        <v>Select the Submission Stage in Project Information</v>
      </c>
      <c r="C117" s="1645"/>
      <c r="D117" s="1645"/>
      <c r="E117" s="1645"/>
      <c r="F117" s="1646"/>
      <c r="G117" s="827" t="s">
        <v>62</v>
      </c>
      <c r="H117" s="1625"/>
      <c r="I117" s="1626"/>
      <c r="J117" s="48"/>
      <c r="K117" s="48"/>
      <c r="L117" s="37" t="str">
        <f>IF(OR(B117="/",B117="No evidence required at this submission stage"),"Yes",IF(G117="Submitted","Yes","No"))</f>
        <v>No</v>
      </c>
    </row>
    <row r="118" spans="1:12" ht="24" hidden="1" customHeight="1" x14ac:dyDescent="0.25">
      <c r="A118" s="48"/>
      <c r="B118" s="1644" t="str">
        <f>Submittals!H179</f>
        <v>Select the Submission Stage in Project Information</v>
      </c>
      <c r="C118" s="1645"/>
      <c r="D118" s="1645"/>
      <c r="E118" s="1645"/>
      <c r="F118" s="1646"/>
      <c r="G118" s="827" t="s">
        <v>62</v>
      </c>
      <c r="H118" s="1684"/>
      <c r="I118" s="2239"/>
      <c r="J118" s="48"/>
      <c r="K118" s="48"/>
      <c r="L118" s="37" t="str">
        <f>IF(OR(B118="/",B118="No evidence required at this submission stage"),"Yes",IF(G118="Submitted","Yes","No"))</f>
        <v>No</v>
      </c>
    </row>
    <row r="119" spans="1:12" ht="18" customHeight="1" x14ac:dyDescent="0.25">
      <c r="A119" s="48"/>
      <c r="B119" s="49"/>
      <c r="C119" s="49"/>
      <c r="D119" s="49"/>
      <c r="E119" s="48"/>
      <c r="F119" s="48"/>
      <c r="G119" s="48"/>
      <c r="H119" s="48"/>
      <c r="I119" s="48"/>
      <c r="J119" s="48"/>
      <c r="K119" s="48"/>
    </row>
    <row r="120" spans="1:12" ht="16.5" customHeight="1" x14ac:dyDescent="0.25">
      <c r="A120" s="2403" t="s">
        <v>8</v>
      </c>
      <c r="B120" s="2403"/>
      <c r="C120" s="2403"/>
      <c r="D120" s="49"/>
      <c r="E120" s="49"/>
      <c r="F120" s="49"/>
      <c r="G120" s="49"/>
      <c r="H120" s="49"/>
      <c r="I120" s="49"/>
      <c r="J120" s="49"/>
      <c r="K120" s="49"/>
    </row>
    <row r="121" spans="1:12" x14ac:dyDescent="0.25">
      <c r="A121" s="48"/>
      <c r="B121" s="49"/>
      <c r="C121" s="49"/>
      <c r="D121" s="49"/>
      <c r="E121" s="49"/>
      <c r="F121" s="48"/>
      <c r="G121" s="48"/>
      <c r="H121" s="48"/>
      <c r="I121" s="48"/>
      <c r="J121" s="48"/>
      <c r="K121" s="48"/>
    </row>
    <row r="122" spans="1:12" ht="18" customHeight="1" x14ac:dyDescent="0.25">
      <c r="A122" s="48"/>
      <c r="B122" s="156" t="s">
        <v>19</v>
      </c>
      <c r="C122" s="8">
        <f>IF(E112="Yes",1,0)</f>
        <v>0</v>
      </c>
      <c r="D122" s="49"/>
      <c r="E122" s="48"/>
      <c r="F122" s="48"/>
      <c r="G122" s="48"/>
      <c r="H122" s="48"/>
      <c r="I122" s="48"/>
      <c r="J122" s="48"/>
      <c r="K122" s="48"/>
    </row>
    <row r="123" spans="1:12" ht="18" customHeight="1" x14ac:dyDescent="0.25">
      <c r="A123" s="48"/>
      <c r="B123" s="156" t="s">
        <v>151</v>
      </c>
      <c r="C123" s="116" t="str">
        <f>IF(AND(COUNTIF(L117:L118,"Yes")=2,C122&gt;0),"Yes","No")</f>
        <v>No</v>
      </c>
      <c r="D123" s="49"/>
      <c r="E123" s="49"/>
      <c r="F123" s="48"/>
      <c r="G123" s="48"/>
      <c r="H123" s="48"/>
      <c r="I123" s="48"/>
      <c r="J123" s="48"/>
      <c r="K123" s="48"/>
    </row>
    <row r="124" spans="1:12" ht="21" customHeight="1" x14ac:dyDescent="0.25">
      <c r="A124" s="48"/>
      <c r="B124" s="49"/>
      <c r="C124" s="49"/>
      <c r="D124" s="49"/>
      <c r="E124" s="49"/>
      <c r="F124" s="48"/>
      <c r="G124" s="48"/>
      <c r="H124" s="48"/>
      <c r="I124" s="48"/>
      <c r="J124" s="48"/>
      <c r="K124" s="48"/>
    </row>
    <row r="125" spans="1:12" hidden="1" x14ac:dyDescent="0.25">
      <c r="A125" s="48"/>
      <c r="B125" s="49"/>
      <c r="C125" s="49"/>
      <c r="D125" s="49"/>
      <c r="E125" s="49"/>
      <c r="F125" s="48"/>
      <c r="G125" s="48"/>
      <c r="H125" s="48"/>
      <c r="I125" s="48"/>
      <c r="J125" s="48"/>
      <c r="K125" s="48"/>
    </row>
    <row r="126" spans="1:12" hidden="1" x14ac:dyDescent="0.25">
      <c r="A126" s="48"/>
      <c r="B126" s="49"/>
      <c r="C126" s="49"/>
      <c r="D126" s="49"/>
      <c r="E126" s="49"/>
      <c r="F126" s="48"/>
      <c r="G126" s="48"/>
      <c r="H126" s="48"/>
      <c r="I126" s="48"/>
      <c r="J126" s="48"/>
      <c r="K126" s="48"/>
    </row>
    <row r="127" spans="1:12" hidden="1" x14ac:dyDescent="0.25">
      <c r="J127" s="48"/>
      <c r="K127" s="48"/>
    </row>
    <row r="128" spans="1:12" hidden="1" x14ac:dyDescent="0.25">
      <c r="J128" s="48"/>
      <c r="K128" s="48"/>
    </row>
    <row r="129" spans="10:11" hidden="1" x14ac:dyDescent="0.25">
      <c r="J129" s="48"/>
      <c r="K129" s="48"/>
    </row>
    <row r="130" spans="10:11" ht="15" hidden="1" customHeight="1" x14ac:dyDescent="0.25"/>
    <row r="131" spans="10:11" ht="15" hidden="1" customHeight="1" x14ac:dyDescent="0.25"/>
    <row r="132" spans="10:11" ht="15" hidden="1" customHeight="1" x14ac:dyDescent="0.25"/>
    <row r="133" spans="10:11" ht="15" hidden="1" customHeight="1" x14ac:dyDescent="0.25"/>
    <row r="134" spans="10:11" ht="15" hidden="1" customHeight="1" x14ac:dyDescent="0.25"/>
    <row r="135" spans="10:11" ht="15" hidden="1" customHeight="1" x14ac:dyDescent="0.25"/>
    <row r="136" spans="10:11" ht="15" hidden="1" customHeight="1" x14ac:dyDescent="0.25"/>
    <row r="137" spans="10:11" ht="15" hidden="1" customHeight="1" x14ac:dyDescent="0.25"/>
    <row r="138" spans="10:11" ht="15" hidden="1" customHeight="1" x14ac:dyDescent="0.25"/>
    <row r="139" spans="10:11" ht="15" hidden="1" customHeight="1" x14ac:dyDescent="0.25"/>
    <row r="140" spans="10:11" ht="15" hidden="1" customHeight="1" x14ac:dyDescent="0.25"/>
    <row r="141" spans="10:11" ht="15" hidden="1" customHeight="1" x14ac:dyDescent="0.25"/>
    <row r="142" spans="10:11" ht="15" hidden="1" customHeight="1" x14ac:dyDescent="0.25"/>
    <row r="143" spans="10:11" ht="15" hidden="1" customHeight="1" x14ac:dyDescent="0.25"/>
    <row r="144" spans="10:11"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sheetData>
  <sheetProtection algorithmName="SHA-512" hashValue="sgbSCc9GAw0OLgEBWRjFbSDIHSKh3EOenXEhqU1RAbvlnKkzDm+XOnax9zkMtkBI1AkWkaM3kOHOikoBeE179g==" saltValue="FdXxPaYL7xrhz8RN1k/vuQ==" spinCount="100000" sheet="1" objects="1" scenarios="1"/>
  <mergeCells count="94">
    <mergeCell ref="B87:F87"/>
    <mergeCell ref="H87:I87"/>
    <mergeCell ref="B77:D77"/>
    <mergeCell ref="D72:F72"/>
    <mergeCell ref="D73:F73"/>
    <mergeCell ref="D74:F74"/>
    <mergeCell ref="D75:F75"/>
    <mergeCell ref="B73:C73"/>
    <mergeCell ref="B74:C74"/>
    <mergeCell ref="B75:C75"/>
    <mergeCell ref="B67:E67"/>
    <mergeCell ref="B68:D68"/>
    <mergeCell ref="B69:D69"/>
    <mergeCell ref="B72:C72"/>
    <mergeCell ref="B58:I58"/>
    <mergeCell ref="B59:I59"/>
    <mergeCell ref="B60:I60"/>
    <mergeCell ref="B61:I61"/>
    <mergeCell ref="B65:D65"/>
    <mergeCell ref="A95:K95"/>
    <mergeCell ref="A97:C97"/>
    <mergeCell ref="A79:C79"/>
    <mergeCell ref="B81:F81"/>
    <mergeCell ref="H81:I81"/>
    <mergeCell ref="B82:F82"/>
    <mergeCell ref="H82:I82"/>
    <mergeCell ref="B83:F83"/>
    <mergeCell ref="H83:I83"/>
    <mergeCell ref="B85:F85"/>
    <mergeCell ref="H85:I85"/>
    <mergeCell ref="B86:F86"/>
    <mergeCell ref="H86:I86"/>
    <mergeCell ref="B88:F88"/>
    <mergeCell ref="H88:I88"/>
    <mergeCell ref="A90:C90"/>
    <mergeCell ref="B37:E37"/>
    <mergeCell ref="B38:E38"/>
    <mergeCell ref="G39:H39"/>
    <mergeCell ref="G40:H40"/>
    <mergeCell ref="G36:H36"/>
    <mergeCell ref="G37:H37"/>
    <mergeCell ref="G38:H38"/>
    <mergeCell ref="B49:F49"/>
    <mergeCell ref="B51:F51"/>
    <mergeCell ref="B46:G46"/>
    <mergeCell ref="B50:G50"/>
    <mergeCell ref="B47:F47"/>
    <mergeCell ref="A120:C120"/>
    <mergeCell ref="A114:C114"/>
    <mergeCell ref="B117:F117"/>
    <mergeCell ref="A27:C27"/>
    <mergeCell ref="B36:E36"/>
    <mergeCell ref="B39:E39"/>
    <mergeCell ref="B40:E40"/>
    <mergeCell ref="B41:E41"/>
    <mergeCell ref="B42:E42"/>
    <mergeCell ref="B29:I30"/>
    <mergeCell ref="B53:D53"/>
    <mergeCell ref="H117:I117"/>
    <mergeCell ref="H118:I118"/>
    <mergeCell ref="B118:F118"/>
    <mergeCell ref="G41:H41"/>
    <mergeCell ref="G42:H42"/>
    <mergeCell ref="A1:K1"/>
    <mergeCell ref="B14:E14"/>
    <mergeCell ref="A5:K7"/>
    <mergeCell ref="H2:I4"/>
    <mergeCell ref="B11:E11"/>
    <mergeCell ref="B12:E12"/>
    <mergeCell ref="A9:K9"/>
    <mergeCell ref="B13:E13"/>
    <mergeCell ref="B116:F116"/>
    <mergeCell ref="H116:I116"/>
    <mergeCell ref="B103:I103"/>
    <mergeCell ref="B104:I104"/>
    <mergeCell ref="B106:I106"/>
    <mergeCell ref="B107:I107"/>
    <mergeCell ref="B109:I109"/>
    <mergeCell ref="B99:I99"/>
    <mergeCell ref="B110:I110"/>
    <mergeCell ref="B112:D112"/>
    <mergeCell ref="A16:K16"/>
    <mergeCell ref="B18:J18"/>
    <mergeCell ref="B21:J21"/>
    <mergeCell ref="B22:J22"/>
    <mergeCell ref="B23:J23"/>
    <mergeCell ref="B19:J19"/>
    <mergeCell ref="B20:J20"/>
    <mergeCell ref="A25:K25"/>
    <mergeCell ref="B101:D101"/>
    <mergeCell ref="G43:H43"/>
    <mergeCell ref="B43:E43"/>
    <mergeCell ref="B48:F48"/>
    <mergeCell ref="B45:F45"/>
  </mergeCells>
  <conditionalFormatting sqref="G117:H118">
    <cfRule type="expression" dxfId="55" priority="20">
      <formula>$B117="No evidence required at this submission stage"</formula>
    </cfRule>
    <cfRule type="expression" dxfId="54" priority="21">
      <formula>$B117="/"</formula>
    </cfRule>
  </conditionalFormatting>
  <conditionalFormatting sqref="G37:G43">
    <cfRule type="expression" dxfId="53" priority="13">
      <formula>$B37="No evidence required at this submission stage"</formula>
    </cfRule>
    <cfRule type="expression" dxfId="52" priority="14">
      <formula>$B37="/"</formula>
    </cfRule>
  </conditionalFormatting>
  <conditionalFormatting sqref="G82:H83">
    <cfRule type="expression" dxfId="51" priority="9">
      <formula>$B82="No evidence required at this submission stage"</formula>
    </cfRule>
    <cfRule type="expression" dxfId="50" priority="10">
      <formula>$B82="/"</formula>
    </cfRule>
  </conditionalFormatting>
  <conditionalFormatting sqref="G86 G88">
    <cfRule type="expression" dxfId="49" priority="7">
      <formula>$B86="/"</formula>
    </cfRule>
    <cfRule type="expression" dxfId="48" priority="8">
      <formula>$B86="No evidence required at this submission stage"</formula>
    </cfRule>
  </conditionalFormatting>
  <conditionalFormatting sqref="H86:I86 H88:I88">
    <cfRule type="expression" dxfId="47" priority="5">
      <formula>$B86="No evidence required at this submission stage"</formula>
    </cfRule>
    <cfRule type="expression" dxfId="46" priority="6">
      <formula>$B86="/"</formula>
    </cfRule>
  </conditionalFormatting>
  <conditionalFormatting sqref="G87">
    <cfRule type="expression" dxfId="45" priority="3">
      <formula>$B87="/"</formula>
    </cfRule>
    <cfRule type="expression" dxfId="44" priority="4">
      <formula>$B87="No evidence required at this submission stage"</formula>
    </cfRule>
  </conditionalFormatting>
  <conditionalFormatting sqref="H87:I87">
    <cfRule type="expression" dxfId="43" priority="1">
      <formula>$B87="No evidence required at this submission stage"</formula>
    </cfRule>
    <cfRule type="expression" dxfId="42" priority="2">
      <formula>$B87="/"</formula>
    </cfRule>
  </conditionalFormatting>
  <dataValidations count="3">
    <dataValidation type="list" allowBlank="1" showInputMessage="1" showErrorMessage="1" sqref="G117:G118 G82:G83 G86:G88">
      <formula1>"Select,Submitted,Not submitted"</formula1>
    </dataValidation>
    <dataValidation type="list" allowBlank="1" showInputMessage="1" showErrorMessage="1" sqref="G47:G49 E101 E65 E68:E69">
      <formula1>"Select,Yes,No"</formula1>
    </dataValidation>
    <dataValidation type="list" allowBlank="1" showInputMessage="1" showErrorMessage="1" prompt="Select 'N/A' when not applicable to the project" sqref="G51 F37:F43">
      <formula1>"Select,Yes,No,N/A"</formula1>
    </dataValidation>
  </dataValidations>
  <hyperlinks>
    <hyperlink ref="K3" location="'Man-5 Green Awareness '!B3" tooltip="Man-5" display="Man-5"/>
    <hyperlink ref="J2" location="'Man-1 LOTUS AP'!B3" tooltip="Man-1" display="Man-1"/>
    <hyperlink ref="J3" location="'Man-2 Construction Stage'!B3" tooltip="Man-2" display="Man-2"/>
    <hyperlink ref="J4" location="'Man-4 Maintenance'!B3" tooltip="Man-4" display="Man-4"/>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84806"/>
  </sheetPr>
  <dimension ref="A1:M110"/>
  <sheetViews>
    <sheetView showRowColHeaders="0" workbookViewId="0">
      <pane ySplit="8" topLeftCell="A9" activePane="bottomLeft" state="frozen"/>
      <selection activeCell="B19" sqref="B19:E19"/>
      <selection pane="bottomLeft" activeCell="A8" sqref="A8"/>
    </sheetView>
  </sheetViews>
  <sheetFormatPr defaultColWidth="0" defaultRowHeight="15" customHeight="1" zeroHeight="1" x14ac:dyDescent="0.25"/>
  <cols>
    <col min="1" max="1" width="5.7109375" style="37" customWidth="1"/>
    <col min="2" max="2" width="18.42578125" style="37" customWidth="1"/>
    <col min="3" max="3" width="17" style="37" customWidth="1"/>
    <col min="4" max="6" width="18.42578125" style="37" customWidth="1"/>
    <col min="7" max="7" width="18.28515625" style="37" customWidth="1"/>
    <col min="8" max="8" width="21.7109375" style="37" customWidth="1"/>
    <col min="9" max="9" width="16.7109375" style="37" customWidth="1"/>
    <col min="10" max="10" width="11.85546875" style="37" customWidth="1"/>
    <col min="11" max="11" width="9.140625" style="37" customWidth="1"/>
    <col min="12" max="16384" width="9.140625" style="37" hidden="1"/>
  </cols>
  <sheetData>
    <row r="1" spans="1:12" ht="25.5" customHeight="1" x14ac:dyDescent="0.25">
      <c r="A1" s="2387" t="s">
        <v>448</v>
      </c>
      <c r="B1" s="2387"/>
      <c r="C1" s="2387"/>
      <c r="D1" s="2387"/>
      <c r="E1" s="2387"/>
      <c r="F1" s="2387"/>
      <c r="G1" s="2387"/>
      <c r="H1" s="2387"/>
      <c r="I1" s="2387"/>
      <c r="J1" s="2387"/>
      <c r="K1" s="2387"/>
    </row>
    <row r="2" spans="1:12" ht="15" customHeight="1" x14ac:dyDescent="0.25">
      <c r="A2" s="48"/>
      <c r="B2" s="49"/>
      <c r="C2" s="49"/>
      <c r="D2" s="49"/>
      <c r="E2" s="49"/>
      <c r="F2" s="48"/>
      <c r="G2" s="48"/>
      <c r="H2" s="1694" t="s">
        <v>1726</v>
      </c>
      <c r="I2" s="1694"/>
      <c r="J2" s="789" t="s">
        <v>323</v>
      </c>
      <c r="K2" s="789"/>
    </row>
    <row r="3" spans="1:12" ht="15" customHeight="1" x14ac:dyDescent="0.25">
      <c r="A3" s="48"/>
      <c r="B3" s="49"/>
      <c r="C3" s="49"/>
      <c r="D3" s="49"/>
      <c r="E3" s="49"/>
      <c r="F3" s="48"/>
      <c r="G3" s="48"/>
      <c r="H3" s="1694"/>
      <c r="I3" s="1694"/>
      <c r="J3" s="789" t="s">
        <v>324</v>
      </c>
      <c r="K3" s="789" t="s">
        <v>330</v>
      </c>
    </row>
    <row r="4" spans="1:12" ht="15" customHeight="1" x14ac:dyDescent="0.25">
      <c r="A4" s="48"/>
      <c r="B4" s="49"/>
      <c r="C4" s="49"/>
      <c r="D4" s="49"/>
      <c r="E4" s="49"/>
      <c r="F4" s="48"/>
      <c r="G4" s="48"/>
      <c r="H4" s="1695"/>
      <c r="I4" s="1695"/>
      <c r="J4" s="789" t="s">
        <v>325</v>
      </c>
      <c r="K4" s="789"/>
    </row>
    <row r="5" spans="1:12" ht="21" customHeight="1" x14ac:dyDescent="0.25">
      <c r="A5" s="1704" t="s">
        <v>2849</v>
      </c>
      <c r="B5" s="1705"/>
      <c r="C5" s="1705"/>
      <c r="D5" s="1705"/>
      <c r="E5" s="1705"/>
      <c r="F5" s="1705"/>
      <c r="G5" s="1705"/>
      <c r="H5" s="1705"/>
      <c r="I5" s="1705"/>
      <c r="J5" s="1705"/>
      <c r="K5" s="1706"/>
      <c r="L5" s="858"/>
    </row>
    <row r="6" spans="1:12" ht="21" customHeight="1" x14ac:dyDescent="0.25">
      <c r="A6" s="1707"/>
      <c r="B6" s="1708"/>
      <c r="C6" s="1708"/>
      <c r="D6" s="1708"/>
      <c r="E6" s="1708"/>
      <c r="F6" s="1708"/>
      <c r="G6" s="1708"/>
      <c r="H6" s="1708"/>
      <c r="I6" s="1708"/>
      <c r="J6" s="1708"/>
      <c r="K6" s="1709"/>
    </row>
    <row r="7" spans="1:12" ht="21" customHeight="1" x14ac:dyDescent="0.25">
      <c r="A7" s="1710"/>
      <c r="B7" s="1711"/>
      <c r="C7" s="1711"/>
      <c r="D7" s="1711"/>
      <c r="E7" s="1711"/>
      <c r="F7" s="1711"/>
      <c r="G7" s="1711"/>
      <c r="H7" s="1711"/>
      <c r="I7" s="1711"/>
      <c r="J7" s="1711"/>
      <c r="K7" s="1712"/>
      <c r="L7" s="857"/>
    </row>
    <row r="8" spans="1:12" ht="12" customHeight="1" x14ac:dyDescent="0.25">
      <c r="A8" s="48"/>
      <c r="B8" s="49"/>
      <c r="C8" s="49"/>
      <c r="D8" s="49"/>
      <c r="E8" s="49"/>
      <c r="F8" s="48"/>
      <c r="G8" s="48"/>
      <c r="H8" s="48"/>
      <c r="I8" s="48"/>
      <c r="J8" s="48"/>
      <c r="K8" s="48"/>
    </row>
    <row r="9" spans="1:12" ht="18" customHeight="1" x14ac:dyDescent="0.25">
      <c r="A9" s="2381" t="s">
        <v>95</v>
      </c>
      <c r="B9" s="2381"/>
      <c r="C9" s="2381"/>
      <c r="D9" s="2381"/>
      <c r="E9" s="2381"/>
      <c r="F9" s="2381"/>
      <c r="G9" s="2381"/>
      <c r="H9" s="2381"/>
      <c r="I9" s="2381"/>
      <c r="J9" s="2381"/>
      <c r="K9" s="2381"/>
    </row>
    <row r="10" spans="1:12" x14ac:dyDescent="0.25">
      <c r="A10" s="48"/>
      <c r="B10" s="49"/>
      <c r="C10" s="49"/>
      <c r="D10" s="49"/>
      <c r="E10" s="49"/>
      <c r="F10" s="48"/>
      <c r="G10" s="48"/>
      <c r="H10" s="48"/>
      <c r="I10" s="48"/>
      <c r="J10" s="48"/>
      <c r="K10" s="48"/>
    </row>
    <row r="11" spans="1:12" ht="21" customHeight="1" x14ac:dyDescent="0.25">
      <c r="A11" s="48"/>
      <c r="B11" s="2390" t="s">
        <v>96</v>
      </c>
      <c r="C11" s="2391"/>
      <c r="D11" s="2391"/>
      <c r="E11" s="2391"/>
      <c r="F11" s="540" t="s">
        <v>75</v>
      </c>
      <c r="G11" s="540" t="s">
        <v>19</v>
      </c>
      <c r="H11" s="56" t="s">
        <v>151</v>
      </c>
      <c r="I11" s="48"/>
      <c r="J11" s="48"/>
      <c r="K11" s="48"/>
    </row>
    <row r="12" spans="1:12" ht="30" customHeight="1" x14ac:dyDescent="0.25">
      <c r="A12" s="48"/>
      <c r="B12" s="2105" t="s">
        <v>2417</v>
      </c>
      <c r="C12" s="2106"/>
      <c r="D12" s="2106"/>
      <c r="E12" s="2107"/>
      <c r="F12" s="320">
        <v>1</v>
      </c>
      <c r="G12" s="320">
        <f>C44</f>
        <v>0</v>
      </c>
      <c r="H12" s="320" t="str">
        <f>C45</f>
        <v>No</v>
      </c>
      <c r="I12" s="48"/>
      <c r="J12" s="48"/>
      <c r="K12" s="48"/>
      <c r="L12" s="37" t="str">
        <f>IF(G12&lt;&gt;0,IF(H12="No","No","Yes"),"Yes")</f>
        <v>Yes</v>
      </c>
    </row>
    <row r="13" spans="1:12" ht="30" customHeight="1" x14ac:dyDescent="0.25">
      <c r="A13" s="48"/>
      <c r="B13" s="2105" t="s">
        <v>2418</v>
      </c>
      <c r="C13" s="2106"/>
      <c r="D13" s="2106"/>
      <c r="E13" s="2107"/>
      <c r="F13" s="320">
        <v>1</v>
      </c>
      <c r="G13" s="320">
        <f>C72</f>
        <v>0</v>
      </c>
      <c r="H13" s="320" t="str">
        <f>C73</f>
        <v>No</v>
      </c>
      <c r="I13" s="48"/>
      <c r="J13" s="48"/>
      <c r="K13" s="48"/>
      <c r="L13" s="37" t="str">
        <f>IF(G13&lt;&gt;0,IF(H13="No","No","Yes"),"Yes")</f>
        <v>Yes</v>
      </c>
    </row>
    <row r="14" spans="1:12" ht="19.5" customHeight="1" x14ac:dyDescent="0.25">
      <c r="A14" s="48"/>
      <c r="B14" s="1713" t="s">
        <v>29</v>
      </c>
      <c r="C14" s="1740"/>
      <c r="D14" s="1740"/>
      <c r="E14" s="1741"/>
      <c r="F14" s="612">
        <v>2</v>
      </c>
      <c r="G14" s="612">
        <f>MIN(2,SUM(G12:G13))</f>
        <v>0</v>
      </c>
      <c r="H14" s="612" t="str">
        <f>IF(COUNTIF(H12:H13,"No")=2,"No",IF(COUNTIF(L12:L13,"Yes")=2,"Yes","No"))</f>
        <v>No</v>
      </c>
      <c r="I14" s="48"/>
      <c r="J14" s="48"/>
      <c r="K14" s="48"/>
    </row>
    <row r="15" spans="1:12" x14ac:dyDescent="0.25">
      <c r="A15" s="48"/>
      <c r="B15" s="49"/>
      <c r="C15" s="49"/>
      <c r="D15" s="49"/>
      <c r="E15" s="49"/>
      <c r="F15" s="48"/>
      <c r="G15" s="48"/>
      <c r="H15" s="48"/>
      <c r="I15" s="48"/>
      <c r="J15" s="48"/>
      <c r="K15" s="48"/>
    </row>
    <row r="16" spans="1:12" ht="18" customHeight="1" x14ac:dyDescent="0.25">
      <c r="A16" s="2381" t="s">
        <v>1292</v>
      </c>
      <c r="B16" s="2381"/>
      <c r="C16" s="2381"/>
      <c r="D16" s="2381"/>
      <c r="E16" s="2381"/>
      <c r="F16" s="2381"/>
      <c r="G16" s="2381"/>
      <c r="H16" s="2381"/>
      <c r="I16" s="2381"/>
      <c r="J16" s="2381"/>
      <c r="K16" s="2381"/>
    </row>
    <row r="17" spans="1:13" x14ac:dyDescent="0.25">
      <c r="A17" s="48"/>
      <c r="B17" s="49"/>
      <c r="C17" s="49"/>
      <c r="D17" s="49"/>
      <c r="E17" s="49"/>
      <c r="F17" s="48"/>
      <c r="G17" s="48"/>
      <c r="H17" s="48"/>
      <c r="I17" s="48"/>
      <c r="J17" s="48"/>
      <c r="K17" s="48"/>
    </row>
    <row r="18" spans="1:13" ht="16.5" customHeight="1" x14ac:dyDescent="0.25">
      <c r="A18" s="2439" t="s">
        <v>117</v>
      </c>
      <c r="B18" s="2439"/>
      <c r="C18" s="2439"/>
      <c r="D18" s="49"/>
      <c r="E18" s="49"/>
      <c r="F18" s="48"/>
      <c r="G18" s="48"/>
      <c r="H18" s="48"/>
      <c r="I18" s="48"/>
      <c r="J18" s="48"/>
      <c r="K18" s="48"/>
    </row>
    <row r="19" spans="1:13" ht="12" customHeight="1" x14ac:dyDescent="0.25">
      <c r="A19" s="48"/>
      <c r="B19" s="49"/>
      <c r="C19" s="49"/>
      <c r="D19" s="49"/>
      <c r="E19" s="49"/>
      <c r="F19" s="48"/>
      <c r="G19" s="48"/>
      <c r="H19" s="48"/>
      <c r="I19" s="48"/>
      <c r="J19" s="48"/>
      <c r="K19" s="48"/>
    </row>
    <row r="20" spans="1:13" x14ac:dyDescent="0.25">
      <c r="A20" s="48"/>
      <c r="B20" s="625" t="s">
        <v>1027</v>
      </c>
      <c r="C20" s="49"/>
      <c r="D20" s="49"/>
      <c r="E20" s="49"/>
      <c r="F20" s="48"/>
      <c r="G20" s="48"/>
      <c r="H20" s="48"/>
      <c r="I20" s="48"/>
      <c r="J20" s="48"/>
      <c r="K20" s="48"/>
    </row>
    <row r="21" spans="1:13" x14ac:dyDescent="0.25">
      <c r="A21" s="48"/>
      <c r="B21" s="624"/>
      <c r="C21" s="49"/>
      <c r="D21" s="49"/>
      <c r="E21" s="49"/>
      <c r="F21" s="48"/>
      <c r="G21" s="48"/>
      <c r="H21" s="48"/>
      <c r="I21" s="48"/>
      <c r="J21" s="48"/>
      <c r="K21" s="48"/>
    </row>
    <row r="22" spans="1:13" x14ac:dyDescent="0.25">
      <c r="A22" s="48"/>
      <c r="B22" s="49" t="s">
        <v>173</v>
      </c>
      <c r="C22" s="49"/>
      <c r="D22" s="49"/>
      <c r="E22" s="49"/>
      <c r="F22" s="48"/>
      <c r="G22" s="48"/>
      <c r="H22" s="48"/>
      <c r="I22" s="48"/>
      <c r="J22" s="48"/>
      <c r="K22" s="48"/>
    </row>
    <row r="23" spans="1:13" x14ac:dyDescent="0.25">
      <c r="A23" s="48"/>
      <c r="B23" s="49"/>
      <c r="C23" s="49"/>
      <c r="D23" s="49"/>
      <c r="E23" s="49"/>
      <c r="F23" s="48"/>
      <c r="G23" s="48"/>
      <c r="H23" s="48"/>
      <c r="I23" s="48"/>
      <c r="J23" s="48"/>
      <c r="K23" s="48"/>
    </row>
    <row r="24" spans="1:13" x14ac:dyDescent="0.25">
      <c r="A24" s="48"/>
      <c r="B24" s="671" t="s">
        <v>1380</v>
      </c>
      <c r="C24" s="49"/>
      <c r="D24" s="49"/>
      <c r="E24" s="49"/>
      <c r="F24" s="48"/>
      <c r="G24" s="48"/>
      <c r="H24" s="48"/>
      <c r="I24" s="48"/>
      <c r="J24" s="48"/>
      <c r="K24" s="48"/>
    </row>
    <row r="25" spans="1:13" ht="12" customHeight="1" x14ac:dyDescent="0.25">
      <c r="A25" s="48"/>
      <c r="B25" s="49"/>
      <c r="C25" s="49"/>
      <c r="D25" s="49"/>
      <c r="E25" s="49"/>
      <c r="F25" s="48"/>
      <c r="G25" s="48"/>
      <c r="H25" s="48"/>
      <c r="I25" s="48"/>
      <c r="J25" s="48"/>
      <c r="K25" s="48"/>
    </row>
    <row r="26" spans="1:13" ht="18" customHeight="1" x14ac:dyDescent="0.25">
      <c r="A26" s="48"/>
      <c r="B26" s="2022" t="str">
        <f>IF('Project information'!$C$7="Full Certification stage","• Has an Operation &amp; Maintenance Manual been provided?","• Will an Operation &amp; Maintenance Manual be provided?")</f>
        <v>• Will an Operation &amp; Maintenance Manual be provided?</v>
      </c>
      <c r="C26" s="2022"/>
      <c r="D26" s="2022"/>
      <c r="E26" s="2022"/>
      <c r="F26" s="768" t="s">
        <v>62</v>
      </c>
      <c r="G26" s="48"/>
      <c r="H26" s="48"/>
      <c r="I26" s="48"/>
      <c r="J26" s="48"/>
      <c r="K26" s="48"/>
      <c r="L26" s="57"/>
      <c r="M26" s="57"/>
    </row>
    <row r="27" spans="1:13" ht="16.5" customHeight="1" x14ac:dyDescent="0.25">
      <c r="A27" s="48"/>
      <c r="B27" s="48"/>
      <c r="C27" s="48"/>
      <c r="D27" s="48"/>
      <c r="E27" s="48"/>
      <c r="F27" s="48"/>
      <c r="G27" s="48"/>
      <c r="H27" s="48"/>
      <c r="I27" s="48"/>
      <c r="J27" s="48"/>
      <c r="K27" s="48"/>
      <c r="L27" s="57"/>
      <c r="M27" s="57"/>
    </row>
    <row r="28" spans="1:13" ht="18" customHeight="1" x14ac:dyDescent="0.25">
      <c r="A28" s="48"/>
      <c r="B28" s="2383" t="str">
        <f>IF('Project information'!$C$7="Full Certification stage","Does the Operation &amp; Maintenance Manual include the following?","Will the Operation &amp; Maintenance Manual include the following?")</f>
        <v>Will the Operation &amp; Maintenance Manual include the following?</v>
      </c>
      <c r="C28" s="2384"/>
      <c r="D28" s="2384"/>
      <c r="E28" s="2384"/>
      <c r="F28" s="2384"/>
      <c r="G28" s="48"/>
      <c r="H28" s="48"/>
      <c r="I28" s="48"/>
      <c r="J28" s="48"/>
      <c r="K28" s="48"/>
      <c r="L28" s="57"/>
      <c r="M28" s="57"/>
    </row>
    <row r="29" spans="1:13" ht="18" customHeight="1" x14ac:dyDescent="0.25">
      <c r="A29" s="48"/>
      <c r="B29" s="1620" t="s">
        <v>1288</v>
      </c>
      <c r="C29" s="1620"/>
      <c r="D29" s="1620"/>
      <c r="E29" s="1620"/>
      <c r="F29" s="831" t="s">
        <v>62</v>
      </c>
      <c r="G29" s="48"/>
      <c r="H29" s="48"/>
      <c r="I29" s="48"/>
      <c r="J29" s="48"/>
      <c r="K29" s="48"/>
      <c r="L29" s="57"/>
      <c r="M29" s="57"/>
    </row>
    <row r="30" spans="1:13" ht="28.5" customHeight="1" x14ac:dyDescent="0.25">
      <c r="A30" s="48"/>
      <c r="B30" s="1620" t="s">
        <v>1429</v>
      </c>
      <c r="C30" s="1620"/>
      <c r="D30" s="1620"/>
      <c r="E30" s="1620"/>
      <c r="F30" s="831" t="s">
        <v>62</v>
      </c>
      <c r="G30" s="48"/>
      <c r="H30" s="48"/>
      <c r="I30" s="48"/>
      <c r="J30" s="48"/>
      <c r="K30" s="48"/>
      <c r="L30" s="57"/>
      <c r="M30" s="57"/>
    </row>
    <row r="31" spans="1:13" ht="18" customHeight="1" x14ac:dyDescent="0.25">
      <c r="A31" s="48"/>
      <c r="B31" s="1620" t="s">
        <v>1289</v>
      </c>
      <c r="C31" s="1620"/>
      <c r="D31" s="1620"/>
      <c r="E31" s="1620"/>
      <c r="F31" s="831" t="s">
        <v>62</v>
      </c>
      <c r="G31" s="48"/>
      <c r="H31" s="48"/>
      <c r="I31" s="48"/>
      <c r="J31" s="48"/>
      <c r="K31" s="48"/>
      <c r="L31" s="57"/>
      <c r="M31" s="57"/>
    </row>
    <row r="32" spans="1:13" ht="18" customHeight="1" x14ac:dyDescent="0.25">
      <c r="A32" s="48"/>
      <c r="B32" s="1620" t="s">
        <v>1290</v>
      </c>
      <c r="C32" s="1620"/>
      <c r="D32" s="1620"/>
      <c r="E32" s="1620"/>
      <c r="F32" s="831" t="s">
        <v>62</v>
      </c>
      <c r="G32" s="48"/>
      <c r="H32" s="48"/>
      <c r="I32" s="48"/>
      <c r="J32" s="48"/>
      <c r="K32" s="48"/>
      <c r="L32" s="57"/>
      <c r="M32" s="57"/>
    </row>
    <row r="33" spans="1:13" ht="18" customHeight="1" x14ac:dyDescent="0.25">
      <c r="A33" s="48"/>
      <c r="B33" s="1620" t="s">
        <v>1291</v>
      </c>
      <c r="C33" s="1620"/>
      <c r="D33" s="1620"/>
      <c r="E33" s="1620"/>
      <c r="F33" s="831" t="s">
        <v>62</v>
      </c>
      <c r="G33" s="48"/>
      <c r="H33" s="48"/>
      <c r="I33" s="48"/>
      <c r="J33" s="48"/>
      <c r="K33" s="48"/>
      <c r="L33" s="57"/>
      <c r="M33" s="57"/>
    </row>
    <row r="34" spans="1:13" ht="16.5" customHeight="1" x14ac:dyDescent="0.25">
      <c r="A34" s="48"/>
      <c r="B34" s="49"/>
      <c r="C34" s="49"/>
      <c r="D34" s="49"/>
      <c r="E34" s="49"/>
      <c r="F34" s="48"/>
      <c r="G34" s="48"/>
      <c r="H34" s="48"/>
      <c r="I34" s="48"/>
      <c r="J34" s="48"/>
      <c r="K34" s="48"/>
    </row>
    <row r="35" spans="1:13" ht="18" customHeight="1" x14ac:dyDescent="0.25">
      <c r="A35" s="48"/>
      <c r="B35" s="2382" t="s">
        <v>1384</v>
      </c>
      <c r="C35" s="2382"/>
      <c r="D35" s="2382"/>
      <c r="E35" s="157" t="str">
        <f>IF(F26="Yes",IF(AND(F29="Yes",F30="Yes",F31="Yes",F33="Yes",OR(F32="Yes",F32="N/A")),"Yes","No"),"No")</f>
        <v>No</v>
      </c>
      <c r="F35" s="48"/>
      <c r="G35" s="48"/>
      <c r="H35" s="48"/>
      <c r="I35" s="48"/>
      <c r="J35" s="48"/>
      <c r="K35" s="48"/>
    </row>
    <row r="36" spans="1:13" ht="18.75" customHeight="1" x14ac:dyDescent="0.25">
      <c r="A36" s="48"/>
      <c r="B36" s="49"/>
      <c r="C36" s="49"/>
      <c r="D36" s="49"/>
      <c r="E36" s="48"/>
      <c r="F36" s="48"/>
      <c r="G36" s="48"/>
      <c r="H36" s="48"/>
      <c r="I36" s="48"/>
      <c r="J36" s="48"/>
      <c r="K36" s="48"/>
    </row>
    <row r="37" spans="1:13" ht="16.5" customHeight="1" x14ac:dyDescent="0.25">
      <c r="A37" s="2403" t="s">
        <v>97</v>
      </c>
      <c r="B37" s="2403"/>
      <c r="C37" s="2403"/>
      <c r="D37" s="49"/>
      <c r="E37" s="49"/>
      <c r="F37" s="49"/>
      <c r="G37" s="49"/>
      <c r="H37" s="49"/>
      <c r="I37" s="49"/>
      <c r="J37" s="49"/>
      <c r="K37" s="49"/>
    </row>
    <row r="38" spans="1:13" x14ac:dyDescent="0.25">
      <c r="A38" s="48"/>
      <c r="B38" s="49"/>
      <c r="C38" s="49"/>
      <c r="D38" s="49"/>
      <c r="E38" s="48"/>
      <c r="F38" s="48"/>
      <c r="G38" s="48"/>
      <c r="H38" s="48"/>
      <c r="I38" s="48"/>
      <c r="J38" s="48"/>
      <c r="K38" s="48"/>
    </row>
    <row r="39" spans="1:13" ht="21.75" customHeight="1" x14ac:dyDescent="0.25">
      <c r="A39" s="48"/>
      <c r="B39" s="2383" t="s">
        <v>98</v>
      </c>
      <c r="C39" s="2384"/>
      <c r="D39" s="2384"/>
      <c r="E39" s="2384"/>
      <c r="F39" s="2384"/>
      <c r="G39" s="830" t="s">
        <v>1297</v>
      </c>
      <c r="H39" s="2385" t="s">
        <v>1298</v>
      </c>
      <c r="I39" s="2386"/>
      <c r="J39" s="48"/>
      <c r="K39" s="48"/>
    </row>
    <row r="40" spans="1:13" ht="54" customHeight="1" x14ac:dyDescent="0.25">
      <c r="A40" s="48"/>
      <c r="B40" s="1644" t="str">
        <f>Submittals!H185</f>
        <v>Select the Submission Stage in Project Information</v>
      </c>
      <c r="C40" s="1645"/>
      <c r="D40" s="1645"/>
      <c r="E40" s="1645"/>
      <c r="F40" s="1646"/>
      <c r="G40" s="828" t="s">
        <v>62</v>
      </c>
      <c r="H40" s="1625"/>
      <c r="I40" s="1626"/>
      <c r="J40" s="48"/>
      <c r="K40" s="48"/>
      <c r="L40" s="37" t="str">
        <f>IF(OR(B40="/",B40="No evidence required at this submission stage"),"Yes",IF(G40="Submitted","Yes","No"))</f>
        <v>No</v>
      </c>
    </row>
    <row r="41" spans="1:13" ht="18" customHeight="1" x14ac:dyDescent="0.25">
      <c r="A41" s="48"/>
      <c r="B41" s="49"/>
      <c r="C41" s="49"/>
      <c r="D41" s="49"/>
      <c r="E41" s="48"/>
      <c r="F41" s="48"/>
      <c r="G41" s="48"/>
      <c r="H41" s="48"/>
      <c r="I41" s="48"/>
      <c r="J41" s="48"/>
      <c r="K41" s="48"/>
    </row>
    <row r="42" spans="1:13" ht="16.5" customHeight="1" x14ac:dyDescent="0.25">
      <c r="A42" s="2403" t="s">
        <v>8</v>
      </c>
      <c r="B42" s="2403"/>
      <c r="C42" s="2403"/>
      <c r="D42" s="49"/>
      <c r="E42" s="49"/>
      <c r="F42" s="49"/>
      <c r="G42" s="49"/>
      <c r="H42" s="49"/>
      <c r="I42" s="49"/>
      <c r="J42" s="49"/>
      <c r="K42" s="49"/>
    </row>
    <row r="43" spans="1:13" ht="16.5" customHeight="1" x14ac:dyDescent="0.25">
      <c r="A43" s="48"/>
      <c r="B43" s="49"/>
      <c r="C43" s="49"/>
      <c r="D43" s="49"/>
      <c r="E43" s="49"/>
      <c r="F43" s="48"/>
      <c r="G43" s="48"/>
      <c r="H43" s="48"/>
      <c r="I43" s="48"/>
      <c r="J43" s="48"/>
      <c r="K43" s="48"/>
    </row>
    <row r="44" spans="1:13" ht="18" customHeight="1" x14ac:dyDescent="0.25">
      <c r="A44" s="48"/>
      <c r="B44" s="156" t="s">
        <v>19</v>
      </c>
      <c r="C44" s="8">
        <f>IF(E35="Yes",1,0)</f>
        <v>0</v>
      </c>
      <c r="D44" s="49"/>
      <c r="E44" s="48"/>
      <c r="F44" s="48"/>
      <c r="G44" s="48"/>
      <c r="H44" s="48"/>
      <c r="I44" s="48"/>
      <c r="J44" s="48"/>
      <c r="K44" s="48"/>
    </row>
    <row r="45" spans="1:13" ht="18" customHeight="1" x14ac:dyDescent="0.25">
      <c r="A45" s="48"/>
      <c r="B45" s="156" t="s">
        <v>151</v>
      </c>
      <c r="C45" s="116" t="str">
        <f>IF(AND(L40="Yes",C44&gt;0),"Yes","No")</f>
        <v>No</v>
      </c>
      <c r="D45" s="49"/>
      <c r="E45" s="49"/>
      <c r="F45" s="48"/>
      <c r="G45" s="48"/>
      <c r="H45" s="48"/>
      <c r="I45" s="48"/>
      <c r="J45" s="48"/>
      <c r="K45" s="48"/>
    </row>
    <row r="46" spans="1:13" ht="21" customHeight="1" x14ac:dyDescent="0.25">
      <c r="A46" s="48"/>
      <c r="B46" s="49"/>
      <c r="C46" s="49"/>
      <c r="D46" s="49"/>
      <c r="E46" s="49"/>
      <c r="F46" s="48"/>
      <c r="G46" s="48"/>
      <c r="H46" s="48"/>
      <c r="I46" s="48"/>
      <c r="J46" s="48"/>
      <c r="K46" s="48"/>
    </row>
    <row r="47" spans="1:13" ht="18" customHeight="1" x14ac:dyDescent="0.25">
      <c r="A47" s="2381" t="s">
        <v>1293</v>
      </c>
      <c r="B47" s="2381"/>
      <c r="C47" s="2381"/>
      <c r="D47" s="2381"/>
      <c r="E47" s="2381"/>
      <c r="F47" s="2381"/>
      <c r="G47" s="2381"/>
      <c r="H47" s="2381"/>
      <c r="I47" s="2381"/>
      <c r="J47" s="2381"/>
      <c r="K47" s="2381"/>
    </row>
    <row r="48" spans="1:13" x14ac:dyDescent="0.25">
      <c r="A48" s="48"/>
      <c r="B48" s="49"/>
      <c r="C48" s="49"/>
      <c r="D48" s="49"/>
      <c r="E48" s="49"/>
      <c r="F48" s="48"/>
      <c r="G48" s="48"/>
      <c r="H48" s="48"/>
      <c r="I48" s="48"/>
      <c r="J48" s="48"/>
      <c r="K48" s="48"/>
    </row>
    <row r="49" spans="1:11" ht="16.5" customHeight="1" x14ac:dyDescent="0.25">
      <c r="A49" s="2439" t="s">
        <v>117</v>
      </c>
      <c r="B49" s="2439"/>
      <c r="C49" s="2439"/>
      <c r="D49" s="49"/>
      <c r="E49" s="49"/>
      <c r="F49" s="48"/>
      <c r="G49" s="48"/>
      <c r="H49" s="48"/>
      <c r="I49" s="48"/>
      <c r="J49" s="48"/>
      <c r="K49" s="48"/>
    </row>
    <row r="50" spans="1:11" x14ac:dyDescent="0.25">
      <c r="A50" s="48"/>
      <c r="B50" s="49"/>
      <c r="C50" s="49"/>
      <c r="D50" s="49"/>
      <c r="E50" s="49"/>
      <c r="F50" s="48"/>
      <c r="G50" s="48"/>
      <c r="H50" s="48"/>
      <c r="I50" s="48"/>
      <c r="J50" s="48"/>
      <c r="K50" s="48"/>
    </row>
    <row r="51" spans="1:11" x14ac:dyDescent="0.25">
      <c r="A51" s="48"/>
      <c r="B51" s="770" t="s">
        <v>1294</v>
      </c>
      <c r="C51" s="49"/>
      <c r="D51" s="49"/>
      <c r="E51" s="49"/>
      <c r="F51" s="48"/>
      <c r="G51" s="48"/>
      <c r="H51" s="48"/>
      <c r="I51" s="48"/>
      <c r="J51" s="48"/>
      <c r="K51" s="48"/>
    </row>
    <row r="52" spans="1:11" ht="18" customHeight="1" x14ac:dyDescent="0.25">
      <c r="A52" s="48"/>
      <c r="B52" s="624"/>
      <c r="C52" s="49"/>
      <c r="D52" s="49"/>
      <c r="E52" s="49"/>
      <c r="F52" s="48"/>
      <c r="G52" s="48"/>
      <c r="H52" s="48"/>
      <c r="I52" s="48"/>
      <c r="J52" s="48"/>
      <c r="K52" s="48"/>
    </row>
    <row r="53" spans="1:11" x14ac:dyDescent="0.25">
      <c r="A53" s="48"/>
      <c r="B53" s="671" t="s">
        <v>1424</v>
      </c>
      <c r="C53" s="49"/>
      <c r="D53" s="49"/>
      <c r="E53" s="49"/>
      <c r="F53" s="48"/>
      <c r="G53" s="48"/>
      <c r="H53" s="48"/>
      <c r="I53" s="48"/>
      <c r="J53" s="48"/>
      <c r="K53" s="48"/>
    </row>
    <row r="54" spans="1:11" ht="12" customHeight="1" x14ac:dyDescent="0.25">
      <c r="A54" s="48"/>
      <c r="B54" s="624"/>
      <c r="C54" s="49"/>
      <c r="D54" s="49"/>
      <c r="E54" s="49"/>
      <c r="F54" s="48"/>
      <c r="G54" s="48"/>
      <c r="H54" s="48"/>
      <c r="I54" s="48"/>
      <c r="J54" s="48"/>
      <c r="K54" s="48"/>
    </row>
    <row r="55" spans="1:11" ht="21.75" customHeight="1" x14ac:dyDescent="0.25">
      <c r="A55" s="48"/>
      <c r="B55" s="1620" t="str">
        <f>IF('Project information'!$C$7="Full Certification stage","• Has a preventative maintenance plan been produced?","• Will a preventative maintenance planl be produced?")</f>
        <v>• Will a preventative maintenance planl be produced?</v>
      </c>
      <c r="C55" s="1620"/>
      <c r="D55" s="1620"/>
      <c r="E55" s="1620"/>
      <c r="F55" s="821" t="s">
        <v>62</v>
      </c>
      <c r="G55" s="48"/>
      <c r="H55" s="48"/>
      <c r="I55" s="48"/>
      <c r="J55" s="48"/>
      <c r="K55" s="48"/>
    </row>
    <row r="56" spans="1:11" x14ac:dyDescent="0.25">
      <c r="A56" s="48"/>
      <c r="B56" s="624"/>
      <c r="C56" s="49"/>
      <c r="D56" s="49"/>
      <c r="E56" s="49"/>
      <c r="F56" s="48"/>
      <c r="G56" s="48"/>
      <c r="H56" s="48"/>
      <c r="I56" s="48"/>
      <c r="J56" s="48"/>
      <c r="K56" s="48"/>
    </row>
    <row r="57" spans="1:11" ht="18" customHeight="1" x14ac:dyDescent="0.25">
      <c r="A57" s="48"/>
      <c r="B57" s="2383" t="str">
        <f>IF('Project information'!$C$7="Full Certification stage","Does the preventative maintenance plan include the following?","Will the preventative maintenance plan include the following?")</f>
        <v>Will the preventative maintenance plan include the following?</v>
      </c>
      <c r="C57" s="2384"/>
      <c r="D57" s="2384"/>
      <c r="E57" s="2384"/>
      <c r="F57" s="2384"/>
      <c r="G57" s="48"/>
      <c r="H57" s="48"/>
      <c r="I57" s="48"/>
      <c r="J57" s="48"/>
      <c r="K57" s="48"/>
    </row>
    <row r="58" spans="1:11" ht="18" customHeight="1" x14ac:dyDescent="0.25">
      <c r="A58" s="48"/>
      <c r="B58" s="1620" t="s">
        <v>1381</v>
      </c>
      <c r="C58" s="1620"/>
      <c r="D58" s="1620"/>
      <c r="E58" s="1620"/>
      <c r="F58" s="821" t="s">
        <v>62</v>
      </c>
      <c r="G58" s="48"/>
      <c r="H58" s="48"/>
      <c r="I58" s="48"/>
      <c r="J58" s="48"/>
      <c r="K58" s="48"/>
    </row>
    <row r="59" spans="1:11" ht="18" customHeight="1" x14ac:dyDescent="0.25">
      <c r="A59" s="48"/>
      <c r="B59" s="1620" t="s">
        <v>1382</v>
      </c>
      <c r="C59" s="1620"/>
      <c r="D59" s="1620"/>
      <c r="E59" s="1620"/>
      <c r="F59" s="821" t="s">
        <v>62</v>
      </c>
      <c r="G59" s="48"/>
      <c r="H59" s="48"/>
      <c r="I59" s="48"/>
      <c r="J59" s="48"/>
      <c r="K59" s="48"/>
    </row>
    <row r="60" spans="1:11" ht="18" customHeight="1" x14ac:dyDescent="0.25">
      <c r="A60" s="48"/>
      <c r="B60" s="1620" t="s">
        <v>1383</v>
      </c>
      <c r="C60" s="1620"/>
      <c r="D60" s="1620"/>
      <c r="E60" s="1620"/>
      <c r="F60" s="821" t="s">
        <v>62</v>
      </c>
      <c r="G60" s="48"/>
      <c r="H60" s="48"/>
      <c r="I60" s="48"/>
      <c r="J60" s="48"/>
      <c r="K60" s="48"/>
    </row>
    <row r="61" spans="1:11" x14ac:dyDescent="0.25">
      <c r="A61" s="48"/>
      <c r="B61" s="49"/>
      <c r="C61" s="49"/>
      <c r="D61" s="49"/>
      <c r="E61" s="49"/>
      <c r="F61" s="48"/>
      <c r="G61" s="48"/>
      <c r="H61" s="48"/>
      <c r="I61" s="48"/>
      <c r="J61" s="48"/>
      <c r="K61" s="48"/>
    </row>
    <row r="62" spans="1:11" ht="18.75" customHeight="1" x14ac:dyDescent="0.25">
      <c r="A62" s="48"/>
      <c r="B62" s="2382" t="s">
        <v>1425</v>
      </c>
      <c r="C62" s="2382"/>
      <c r="D62" s="2382"/>
      <c r="E62" s="157" t="str">
        <f>IF(AND(F55="Yes",COUNTIF(F58:F60,"Yes")=3),"Yes","No")</f>
        <v>No</v>
      </c>
      <c r="F62" s="48"/>
      <c r="G62" s="48"/>
      <c r="H62" s="48"/>
      <c r="I62" s="48"/>
      <c r="J62" s="48"/>
      <c r="K62" s="48"/>
    </row>
    <row r="63" spans="1:11" ht="19.5" customHeight="1" x14ac:dyDescent="0.25">
      <c r="A63" s="48"/>
      <c r="B63" s="48"/>
      <c r="C63" s="48"/>
      <c r="D63" s="48"/>
      <c r="E63" s="48"/>
      <c r="F63" s="48"/>
      <c r="G63" s="48"/>
      <c r="H63" s="48"/>
      <c r="I63" s="48"/>
      <c r="J63" s="48"/>
      <c r="K63" s="48"/>
    </row>
    <row r="64" spans="1:11" ht="16.5" customHeight="1" x14ac:dyDescent="0.25">
      <c r="A64" s="2403" t="s">
        <v>97</v>
      </c>
      <c r="B64" s="2403"/>
      <c r="C64" s="2403"/>
      <c r="D64" s="49"/>
      <c r="E64" s="49"/>
      <c r="F64" s="49"/>
      <c r="G64" s="49"/>
      <c r="H64" s="49"/>
      <c r="I64" s="49"/>
      <c r="J64" s="49"/>
      <c r="K64" s="49"/>
    </row>
    <row r="65" spans="1:12" x14ac:dyDescent="0.25">
      <c r="A65" s="48"/>
      <c r="B65" s="49"/>
      <c r="C65" s="49"/>
      <c r="D65" s="49"/>
      <c r="E65" s="48"/>
      <c r="F65" s="48"/>
      <c r="G65" s="48"/>
      <c r="H65" s="48"/>
      <c r="I65" s="48"/>
      <c r="J65" s="48"/>
      <c r="K65" s="48"/>
    </row>
    <row r="66" spans="1:12" ht="21" customHeight="1" x14ac:dyDescent="0.25">
      <c r="A66" s="48"/>
      <c r="B66" s="2383" t="s">
        <v>98</v>
      </c>
      <c r="C66" s="2384"/>
      <c r="D66" s="2384"/>
      <c r="E66" s="2384"/>
      <c r="F66" s="2384"/>
      <c r="G66" s="830" t="s">
        <v>1297</v>
      </c>
      <c r="H66" s="2385" t="s">
        <v>1298</v>
      </c>
      <c r="I66" s="2386"/>
      <c r="J66" s="48"/>
      <c r="K66" s="48"/>
    </row>
    <row r="67" spans="1:12" ht="27.75" customHeight="1" x14ac:dyDescent="0.25">
      <c r="A67" s="48"/>
      <c r="B67" s="1644" t="str">
        <f>Submittals!H186</f>
        <v>Select the Submission Stage in Project Information</v>
      </c>
      <c r="C67" s="1645"/>
      <c r="D67" s="1645"/>
      <c r="E67" s="1645"/>
      <c r="F67" s="1646"/>
      <c r="G67" s="828" t="s">
        <v>62</v>
      </c>
      <c r="H67" s="1625"/>
      <c r="I67" s="1626"/>
      <c r="J67" s="48"/>
      <c r="K67" s="48"/>
      <c r="L67" s="37" t="str">
        <f>IF(OR(B67="/",B67="No evidence required at this submission stage"),"Yes",IF(G67="Submitted","Yes","No"))</f>
        <v>No</v>
      </c>
    </row>
    <row r="68" spans="1:12" ht="39" customHeight="1" x14ac:dyDescent="0.25">
      <c r="A68" s="48"/>
      <c r="B68" s="1644" t="str">
        <f>Submittals!H187</f>
        <v>Select the Submission Stage in Project Information</v>
      </c>
      <c r="C68" s="1645"/>
      <c r="D68" s="1645"/>
      <c r="E68" s="1645"/>
      <c r="F68" s="1646"/>
      <c r="G68" s="1254" t="s">
        <v>62</v>
      </c>
      <c r="H68" s="1625"/>
      <c r="I68" s="1626"/>
      <c r="J68" s="48"/>
      <c r="K68" s="48"/>
      <c r="L68" s="37" t="str">
        <f>IF(OR(B68="/",B68="No evidence required at this submission stage"),"Yes",IF(G68="Submitted","Yes","No"))</f>
        <v>No</v>
      </c>
    </row>
    <row r="69" spans="1:12" ht="19.5" customHeight="1" x14ac:dyDescent="0.25">
      <c r="A69" s="48"/>
      <c r="B69" s="49"/>
      <c r="C69" s="49"/>
      <c r="D69" s="49"/>
      <c r="E69" s="48"/>
      <c r="F69" s="48"/>
      <c r="G69" s="48"/>
      <c r="H69" s="48"/>
      <c r="I69" s="48"/>
      <c r="J69" s="48"/>
      <c r="K69" s="48"/>
    </row>
    <row r="70" spans="1:12" ht="16.5" customHeight="1" x14ac:dyDescent="0.25">
      <c r="A70" s="2403" t="s">
        <v>8</v>
      </c>
      <c r="B70" s="2403"/>
      <c r="C70" s="2403"/>
      <c r="D70" s="49"/>
      <c r="E70" s="49"/>
      <c r="F70" s="49"/>
      <c r="G70" s="49"/>
      <c r="H70" s="49"/>
      <c r="I70" s="49"/>
      <c r="J70" s="49"/>
      <c r="K70" s="49"/>
    </row>
    <row r="71" spans="1:12" ht="16.5" customHeight="1" x14ac:dyDescent="0.25">
      <c r="A71" s="48"/>
      <c r="B71" s="49"/>
      <c r="C71" s="49"/>
      <c r="D71" s="49"/>
      <c r="E71" s="49"/>
      <c r="F71" s="48"/>
      <c r="G71" s="48"/>
      <c r="H71" s="48"/>
      <c r="I71" s="48"/>
      <c r="J71" s="48"/>
      <c r="K71" s="48"/>
    </row>
    <row r="72" spans="1:12" ht="18" customHeight="1" x14ac:dyDescent="0.25">
      <c r="A72" s="48"/>
      <c r="B72" s="156" t="s">
        <v>19</v>
      </c>
      <c r="C72" s="8">
        <f>IF(E62="Yes",1,0)</f>
        <v>0</v>
      </c>
      <c r="D72" s="49"/>
      <c r="E72" s="48"/>
      <c r="F72" s="48"/>
      <c r="G72" s="48"/>
      <c r="H72" s="48"/>
      <c r="I72" s="48"/>
      <c r="J72" s="48"/>
      <c r="K72" s="48"/>
    </row>
    <row r="73" spans="1:12" ht="18" customHeight="1" x14ac:dyDescent="0.25">
      <c r="A73" s="48"/>
      <c r="B73" s="156" t="s">
        <v>151</v>
      </c>
      <c r="C73" s="116" t="str">
        <f>IF(AND(COUNTIF(L67:L68,"Yes")=2,C72&gt;0),"Yes","No")</f>
        <v>No</v>
      </c>
      <c r="D73" s="49"/>
      <c r="E73" s="49"/>
      <c r="F73" s="48"/>
      <c r="G73" s="48"/>
      <c r="H73" s="48"/>
      <c r="I73" s="48"/>
      <c r="J73" s="48"/>
      <c r="K73" s="48"/>
    </row>
    <row r="74" spans="1:12" ht="21" customHeight="1" x14ac:dyDescent="0.25">
      <c r="A74" s="48"/>
      <c r="B74" s="49"/>
      <c r="C74" s="49"/>
      <c r="D74" s="49"/>
      <c r="E74" s="49"/>
      <c r="F74" s="48"/>
      <c r="G74" s="48"/>
      <c r="H74" s="48"/>
      <c r="I74" s="48"/>
      <c r="J74" s="48"/>
      <c r="K74" s="48"/>
    </row>
    <row r="75" spans="1:12" hidden="1" x14ac:dyDescent="0.25">
      <c r="J75" s="48"/>
      <c r="K75" s="48"/>
    </row>
    <row r="76" spans="1:12" ht="15" hidden="1" customHeight="1" x14ac:dyDescent="0.25"/>
    <row r="77" spans="1:12" ht="15" hidden="1" customHeight="1" x14ac:dyDescent="0.25"/>
    <row r="78" spans="1:12" ht="15" hidden="1" customHeight="1" x14ac:dyDescent="0.25"/>
    <row r="79" spans="1:12" ht="15" hidden="1" customHeight="1" x14ac:dyDescent="0.25"/>
    <row r="80" spans="1:12"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sheetData>
  <sheetProtection algorithmName="SHA-512" hashValue="sIOyROW9nYVsNRhNx7Ht7TR2U6E163bHnBEx+O4AYgqJ0jpAKdGg2Q+aCJV8pTw7wFf/yzw43in1wR+UCJZeMw==" saltValue="iWcDJb9ZiCmC0y6nikGmLQ==" spinCount="100000" sheet="1" objects="1" scenarios="1"/>
  <mergeCells count="40">
    <mergeCell ref="A1:K1"/>
    <mergeCell ref="A47:K47"/>
    <mergeCell ref="A37:C37"/>
    <mergeCell ref="A42:C42"/>
    <mergeCell ref="A64:C64"/>
    <mergeCell ref="B35:D35"/>
    <mergeCell ref="B40:F40"/>
    <mergeCell ref="H2:I4"/>
    <mergeCell ref="B30:E30"/>
    <mergeCell ref="B31:E31"/>
    <mergeCell ref="B32:E32"/>
    <mergeCell ref="B33:E33"/>
    <mergeCell ref="A5:K7"/>
    <mergeCell ref="B11:E11"/>
    <mergeCell ref="B28:F28"/>
    <mergeCell ref="B55:E55"/>
    <mergeCell ref="A9:K9"/>
    <mergeCell ref="B13:E13"/>
    <mergeCell ref="B14:E14"/>
    <mergeCell ref="A18:C18"/>
    <mergeCell ref="A70:C70"/>
    <mergeCell ref="A49:C49"/>
    <mergeCell ref="H67:I67"/>
    <mergeCell ref="B57:F57"/>
    <mergeCell ref="B58:E58"/>
    <mergeCell ref="B59:E59"/>
    <mergeCell ref="B60:E60"/>
    <mergeCell ref="B62:D62"/>
    <mergeCell ref="B39:F39"/>
    <mergeCell ref="H39:I39"/>
    <mergeCell ref="H40:I40"/>
    <mergeCell ref="B66:F66"/>
    <mergeCell ref="B68:F68"/>
    <mergeCell ref="H68:I68"/>
    <mergeCell ref="B12:E12"/>
    <mergeCell ref="B26:E26"/>
    <mergeCell ref="B29:E29"/>
    <mergeCell ref="A16:K16"/>
    <mergeCell ref="H66:I66"/>
    <mergeCell ref="B67:F67"/>
  </mergeCells>
  <conditionalFormatting sqref="G40:H40">
    <cfRule type="expression" dxfId="41" priority="5">
      <formula>$B40="No evidence required at this submission stage"</formula>
    </cfRule>
    <cfRule type="expression" dxfId="40" priority="6">
      <formula>$B40="/"</formula>
    </cfRule>
  </conditionalFormatting>
  <conditionalFormatting sqref="G67:H67">
    <cfRule type="expression" dxfId="39" priority="3">
      <formula>$B67="No evidence required at this submission stage"</formula>
    </cfRule>
    <cfRule type="expression" dxfId="38" priority="4">
      <formula>$B67="/"</formula>
    </cfRule>
  </conditionalFormatting>
  <conditionalFormatting sqref="G68:H68">
    <cfRule type="expression" dxfId="37" priority="1">
      <formula>$B68="No evidence required at this submission stage"</formula>
    </cfRule>
    <cfRule type="expression" dxfId="36" priority="2">
      <formula>$B68="/"</formula>
    </cfRule>
  </conditionalFormatting>
  <dataValidations count="3">
    <dataValidation type="list" allowBlank="1" showInputMessage="1" showErrorMessage="1" sqref="G40 G67:G68">
      <formula1>"Select,Submitted,Not submitted"</formula1>
    </dataValidation>
    <dataValidation type="list" allowBlank="1" showInputMessage="1" showErrorMessage="1" sqref="F26 F55 F58:F60 F29:F31 F33">
      <formula1>"Select,Yes,No"</formula1>
    </dataValidation>
    <dataValidation type="list" allowBlank="1" showInputMessage="1" showErrorMessage="1" sqref="F32">
      <formula1>"Select,Yes,No,N/A"</formula1>
    </dataValidation>
  </dataValidations>
  <hyperlinks>
    <hyperlink ref="K3" location="'Man-5 Green Awareness '!B3" tooltip="Man-5" display="Man-5"/>
    <hyperlink ref="J2" location="'Man-1 LOTUS AP'!B3" tooltip="Man-1" display="Man-1"/>
    <hyperlink ref="J3" location="'Man-2 Construction Stage'!B3" tooltip="Man-2" display="Man-2"/>
    <hyperlink ref="J4" location="'Man-3 Commissioning'!B3" tooltip="Man-3" display="Man-3"/>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84806"/>
  </sheetPr>
  <dimension ref="A1:M133"/>
  <sheetViews>
    <sheetView showRowColHeaders="0" workbookViewId="0">
      <pane ySplit="8" topLeftCell="A9" activePane="bottomLeft" state="frozen"/>
      <selection activeCell="B19" sqref="B19:E19"/>
      <selection pane="bottomLeft" activeCell="A8" sqref="A8"/>
    </sheetView>
  </sheetViews>
  <sheetFormatPr defaultColWidth="0" defaultRowHeight="15" customHeight="1" zeroHeight="1" x14ac:dyDescent="0.25"/>
  <cols>
    <col min="1" max="1" width="5.7109375" style="37" customWidth="1"/>
    <col min="2" max="2" width="18.42578125" style="37" customWidth="1"/>
    <col min="3" max="3" width="17" style="37" customWidth="1"/>
    <col min="4" max="6" width="18.42578125" style="37" customWidth="1"/>
    <col min="7" max="7" width="18.28515625" style="37" customWidth="1"/>
    <col min="8" max="8" width="21.7109375" style="37" customWidth="1"/>
    <col min="9" max="9" width="19.42578125" style="37" customWidth="1"/>
    <col min="10" max="11" width="9.7109375" style="37" customWidth="1"/>
    <col min="12" max="16384" width="9.140625" style="37" hidden="1"/>
  </cols>
  <sheetData>
    <row r="1" spans="1:12" ht="25.5" customHeight="1" x14ac:dyDescent="0.25">
      <c r="A1" s="2387" t="s">
        <v>447</v>
      </c>
      <c r="B1" s="2387"/>
      <c r="C1" s="2387"/>
      <c r="D1" s="2387"/>
      <c r="E1" s="2387"/>
      <c r="F1" s="2387"/>
      <c r="G1" s="2387"/>
      <c r="H1" s="2387"/>
      <c r="I1" s="2387"/>
      <c r="J1" s="2387"/>
      <c r="K1" s="2387"/>
    </row>
    <row r="2" spans="1:12" ht="15" customHeight="1" x14ac:dyDescent="0.25">
      <c r="A2" s="48"/>
      <c r="B2" s="49"/>
      <c r="C2" s="49"/>
      <c r="D2" s="49"/>
      <c r="E2" s="49"/>
      <c r="F2" s="48"/>
      <c r="G2" s="48"/>
      <c r="H2" s="1694" t="s">
        <v>1726</v>
      </c>
      <c r="I2" s="1694"/>
      <c r="J2" s="789" t="s">
        <v>323</v>
      </c>
      <c r="K2" s="789"/>
    </row>
    <row r="3" spans="1:12" ht="15" customHeight="1" x14ac:dyDescent="0.25">
      <c r="A3" s="48"/>
      <c r="B3" s="49"/>
      <c r="C3" s="49"/>
      <c r="D3" s="49"/>
      <c r="E3" s="49"/>
      <c r="F3" s="48"/>
      <c r="G3" s="48"/>
      <c r="H3" s="1694"/>
      <c r="I3" s="1694"/>
      <c r="J3" s="789" t="s">
        <v>324</v>
      </c>
      <c r="K3" s="789" t="s">
        <v>326</v>
      </c>
    </row>
    <row r="4" spans="1:12" ht="15" customHeight="1" x14ac:dyDescent="0.25">
      <c r="A4" s="48"/>
      <c r="B4" s="49"/>
      <c r="C4" s="49"/>
      <c r="D4" s="49"/>
      <c r="E4" s="49"/>
      <c r="F4" s="48"/>
      <c r="G4" s="48"/>
      <c r="H4" s="1695"/>
      <c r="I4" s="1695"/>
      <c r="J4" s="789" t="s">
        <v>325</v>
      </c>
      <c r="K4" s="789"/>
    </row>
    <row r="5" spans="1:12" ht="21" customHeight="1" x14ac:dyDescent="0.25">
      <c r="A5" s="1704" t="s">
        <v>2848</v>
      </c>
      <c r="B5" s="1705"/>
      <c r="C5" s="1705"/>
      <c r="D5" s="1705"/>
      <c r="E5" s="1705"/>
      <c r="F5" s="1705"/>
      <c r="G5" s="1705"/>
      <c r="H5" s="1705"/>
      <c r="I5" s="1705"/>
      <c r="J5" s="1705"/>
      <c r="K5" s="1706"/>
    </row>
    <row r="6" spans="1:12" ht="21" customHeight="1" x14ac:dyDescent="0.25">
      <c r="A6" s="1707"/>
      <c r="B6" s="1708"/>
      <c r="C6" s="1708"/>
      <c r="D6" s="1708"/>
      <c r="E6" s="1708"/>
      <c r="F6" s="1708"/>
      <c r="G6" s="1708"/>
      <c r="H6" s="1708"/>
      <c r="I6" s="1708"/>
      <c r="J6" s="1708"/>
      <c r="K6" s="1709"/>
    </row>
    <row r="7" spans="1:12" ht="21" customHeight="1" x14ac:dyDescent="0.25">
      <c r="A7" s="1710"/>
      <c r="B7" s="1711"/>
      <c r="C7" s="1711"/>
      <c r="D7" s="1711"/>
      <c r="E7" s="1711"/>
      <c r="F7" s="1711"/>
      <c r="G7" s="1711"/>
      <c r="H7" s="1711"/>
      <c r="I7" s="1711"/>
      <c r="J7" s="1711"/>
      <c r="K7" s="1712"/>
    </row>
    <row r="8" spans="1:12" ht="12" customHeight="1" x14ac:dyDescent="0.25">
      <c r="A8" s="48"/>
      <c r="B8" s="49"/>
      <c r="C8" s="49"/>
      <c r="D8" s="49"/>
      <c r="E8" s="49"/>
      <c r="F8" s="48"/>
      <c r="G8" s="48"/>
      <c r="H8" s="48"/>
      <c r="I8" s="48"/>
      <c r="J8" s="48"/>
      <c r="K8" s="48"/>
    </row>
    <row r="9" spans="1:12" ht="18" customHeight="1" x14ac:dyDescent="0.25">
      <c r="A9" s="2381" t="s">
        <v>95</v>
      </c>
      <c r="B9" s="2381"/>
      <c r="C9" s="2381"/>
      <c r="D9" s="2381"/>
      <c r="E9" s="2381"/>
      <c r="F9" s="2381"/>
      <c r="G9" s="2381"/>
      <c r="H9" s="2381"/>
      <c r="I9" s="2381"/>
      <c r="J9" s="2381"/>
      <c r="K9" s="2381"/>
    </row>
    <row r="10" spans="1:12" x14ac:dyDescent="0.25">
      <c r="A10" s="48"/>
      <c r="B10" s="49"/>
      <c r="C10" s="49"/>
      <c r="D10" s="49"/>
      <c r="E10" s="49"/>
      <c r="F10" s="48"/>
      <c r="G10" s="48"/>
      <c r="H10" s="48"/>
      <c r="I10" s="48"/>
      <c r="J10" s="48"/>
      <c r="K10" s="48"/>
    </row>
    <row r="11" spans="1:12" ht="21" customHeight="1" x14ac:dyDescent="0.25">
      <c r="A11" s="48"/>
      <c r="B11" s="2390" t="s">
        <v>96</v>
      </c>
      <c r="C11" s="2391"/>
      <c r="D11" s="2391"/>
      <c r="E11" s="2391"/>
      <c r="F11" s="540" t="s">
        <v>75</v>
      </c>
      <c r="G11" s="540" t="s">
        <v>19</v>
      </c>
      <c r="H11" s="56" t="s">
        <v>151</v>
      </c>
      <c r="I11" s="48"/>
      <c r="J11" s="48"/>
      <c r="K11" s="48"/>
    </row>
    <row r="12" spans="1:12" ht="27" customHeight="1" x14ac:dyDescent="0.25">
      <c r="A12" s="48"/>
      <c r="B12" s="2105" t="s">
        <v>1028</v>
      </c>
      <c r="C12" s="2106"/>
      <c r="D12" s="2106"/>
      <c r="E12" s="2107"/>
      <c r="F12" s="320">
        <v>1</v>
      </c>
      <c r="G12" s="320">
        <f>C52</f>
        <v>0</v>
      </c>
      <c r="H12" s="320" t="str">
        <f>C53</f>
        <v>No</v>
      </c>
      <c r="I12" s="48"/>
      <c r="J12" s="48"/>
      <c r="K12" s="48"/>
      <c r="L12" s="37" t="str">
        <f>IF(G12&lt;&gt;0,IF(H12="No","No","Yes"),"Yes")</f>
        <v>Yes</v>
      </c>
    </row>
    <row r="13" spans="1:12" ht="27" customHeight="1" x14ac:dyDescent="0.25">
      <c r="A13" s="48"/>
      <c r="B13" s="2105" t="s">
        <v>2412</v>
      </c>
      <c r="C13" s="2106"/>
      <c r="D13" s="2106"/>
      <c r="E13" s="2107"/>
      <c r="F13" s="320">
        <v>1</v>
      </c>
      <c r="G13" s="320">
        <f>C88</f>
        <v>0</v>
      </c>
      <c r="H13" s="320" t="str">
        <f>C89</f>
        <v>No</v>
      </c>
      <c r="I13" s="48"/>
      <c r="J13" s="48"/>
      <c r="K13" s="48"/>
      <c r="L13" s="37" t="str">
        <f>IF(G13&lt;&gt;0,IF(H13="No","No","Yes"),"Yes")</f>
        <v>Yes</v>
      </c>
    </row>
    <row r="14" spans="1:12" ht="27" customHeight="1" x14ac:dyDescent="0.25">
      <c r="A14" s="48"/>
      <c r="B14" s="2105" t="s">
        <v>2718</v>
      </c>
      <c r="C14" s="2106"/>
      <c r="D14" s="2106"/>
      <c r="E14" s="2107"/>
      <c r="F14" s="320">
        <v>1</v>
      </c>
      <c r="G14" s="320">
        <f>C121</f>
        <v>0</v>
      </c>
      <c r="H14" s="320" t="str">
        <f>C122</f>
        <v>No</v>
      </c>
      <c r="I14" s="48"/>
      <c r="J14" s="48"/>
      <c r="K14" s="48"/>
      <c r="L14" s="37" t="str">
        <f>IF(G14&lt;&gt;0,IF(H14="No","No","Yes"),"Yes")</f>
        <v>Yes</v>
      </c>
    </row>
    <row r="15" spans="1:12" ht="18" customHeight="1" x14ac:dyDescent="0.25">
      <c r="A15" s="48"/>
      <c r="B15" s="1713" t="s">
        <v>29</v>
      </c>
      <c r="C15" s="1740"/>
      <c r="D15" s="1740"/>
      <c r="E15" s="1741"/>
      <c r="F15" s="612">
        <v>2</v>
      </c>
      <c r="G15" s="612">
        <f>MIN(2,G12+G13+G14)</f>
        <v>0</v>
      </c>
      <c r="H15" s="612" t="str">
        <f>IF(COUNTIF(H12:H14,"No")=3,"No",IF(COUNTIF(L12:L14,"Yes")=3,"Yes","No"))</f>
        <v>No</v>
      </c>
      <c r="I15" s="48"/>
      <c r="J15" s="48"/>
      <c r="K15" s="48"/>
    </row>
    <row r="16" spans="1:12" x14ac:dyDescent="0.25">
      <c r="A16" s="48"/>
      <c r="B16" s="49"/>
      <c r="C16" s="49"/>
      <c r="D16" s="49"/>
      <c r="E16" s="49"/>
      <c r="F16" s="48"/>
      <c r="G16" s="48"/>
      <c r="H16" s="48"/>
      <c r="I16" s="48"/>
      <c r="J16" s="48"/>
      <c r="K16" s="48"/>
    </row>
    <row r="17" spans="1:13" ht="18" customHeight="1" x14ac:dyDescent="0.25">
      <c r="A17" s="2381" t="s">
        <v>1029</v>
      </c>
      <c r="B17" s="2381"/>
      <c r="C17" s="2381"/>
      <c r="D17" s="2381"/>
      <c r="E17" s="2381"/>
      <c r="F17" s="2381"/>
      <c r="G17" s="2381"/>
      <c r="H17" s="2381"/>
      <c r="I17" s="2381"/>
      <c r="J17" s="2381"/>
      <c r="K17" s="2381"/>
    </row>
    <row r="18" spans="1:13" x14ac:dyDescent="0.25">
      <c r="A18" s="48"/>
      <c r="B18" s="49"/>
      <c r="C18" s="49"/>
      <c r="D18" s="49"/>
      <c r="E18" s="49"/>
      <c r="F18" s="48"/>
      <c r="G18" s="48"/>
      <c r="H18" s="48"/>
      <c r="I18" s="48"/>
      <c r="J18" s="48"/>
      <c r="K18" s="48"/>
    </row>
    <row r="19" spans="1:13" ht="16.5" customHeight="1" x14ac:dyDescent="0.25">
      <c r="A19" s="2439" t="s">
        <v>117</v>
      </c>
      <c r="B19" s="2439"/>
      <c r="C19" s="2439"/>
      <c r="D19" s="49"/>
      <c r="E19" s="49"/>
      <c r="F19" s="48"/>
      <c r="G19" s="48"/>
      <c r="H19" s="48"/>
      <c r="I19" s="48"/>
      <c r="J19" s="48"/>
      <c r="K19" s="48"/>
    </row>
    <row r="20" spans="1:13" ht="12" customHeight="1" x14ac:dyDescent="0.25">
      <c r="A20" s="48"/>
      <c r="B20" s="49"/>
      <c r="C20" s="49"/>
      <c r="D20" s="49"/>
      <c r="E20" s="49"/>
      <c r="F20" s="48"/>
      <c r="G20" s="48"/>
      <c r="H20" s="48"/>
      <c r="I20" s="48"/>
      <c r="J20" s="48"/>
      <c r="K20" s="48"/>
    </row>
    <row r="21" spans="1:13" x14ac:dyDescent="0.25">
      <c r="A21" s="48"/>
      <c r="B21" s="625" t="s">
        <v>2719</v>
      </c>
      <c r="C21" s="49"/>
      <c r="D21" s="49"/>
      <c r="E21" s="49"/>
      <c r="F21" s="48"/>
      <c r="G21" s="48"/>
      <c r="H21" s="48"/>
      <c r="I21" s="48"/>
      <c r="J21" s="48"/>
      <c r="K21" s="48"/>
    </row>
    <row r="22" spans="1:13" x14ac:dyDescent="0.25">
      <c r="A22" s="48"/>
      <c r="B22" s="121"/>
      <c r="C22" s="49"/>
      <c r="D22" s="49"/>
      <c r="E22" s="49"/>
      <c r="F22" s="48"/>
      <c r="G22" s="48"/>
      <c r="H22" s="48"/>
      <c r="I22" s="48"/>
      <c r="J22" s="48"/>
      <c r="K22" s="48"/>
    </row>
    <row r="23" spans="1:13" x14ac:dyDescent="0.25">
      <c r="A23" s="48"/>
      <c r="B23" s="1732" t="s">
        <v>1386</v>
      </c>
      <c r="C23" s="1733"/>
      <c r="D23" s="1733"/>
      <c r="E23" s="1733"/>
      <c r="F23" s="1733"/>
      <c r="G23" s="1733"/>
      <c r="H23" s="1733"/>
      <c r="I23" s="1734"/>
      <c r="J23" s="48"/>
      <c r="K23" s="48"/>
    </row>
    <row r="24" spans="1:13" ht="13.5" customHeight="1" x14ac:dyDescent="0.25">
      <c r="A24" s="48"/>
      <c r="B24" s="2455" t="s">
        <v>2078</v>
      </c>
      <c r="C24" s="2437"/>
      <c r="D24" s="2437"/>
      <c r="E24" s="2437"/>
      <c r="F24" s="2437"/>
      <c r="G24" s="2437"/>
      <c r="H24" s="2437"/>
      <c r="I24" s="2456"/>
      <c r="J24" s="48"/>
      <c r="K24" s="48"/>
    </row>
    <row r="25" spans="1:13" ht="13.5" customHeight="1" x14ac:dyDescent="0.25">
      <c r="A25" s="48"/>
      <c r="B25" s="2455"/>
      <c r="C25" s="2437"/>
      <c r="D25" s="2437"/>
      <c r="E25" s="2437"/>
      <c r="F25" s="2437"/>
      <c r="G25" s="2437"/>
      <c r="H25" s="2437"/>
      <c r="I25" s="2456"/>
      <c r="J25" s="48"/>
      <c r="K25" s="48"/>
    </row>
    <row r="26" spans="1:13" ht="13.5" customHeight="1" x14ac:dyDescent="0.25">
      <c r="A26" s="48"/>
      <c r="B26" s="2445"/>
      <c r="C26" s="2446"/>
      <c r="D26" s="2446"/>
      <c r="E26" s="2446"/>
      <c r="F26" s="2446"/>
      <c r="G26" s="2446"/>
      <c r="H26" s="2446"/>
      <c r="I26" s="2447"/>
      <c r="J26" s="48"/>
      <c r="K26" s="48"/>
      <c r="L26" s="57"/>
      <c r="M26" s="57"/>
    </row>
    <row r="27" spans="1:13" x14ac:dyDescent="0.25">
      <c r="A27" s="48"/>
      <c r="B27" s="121"/>
      <c r="C27" s="49"/>
      <c r="D27" s="49"/>
      <c r="E27" s="49"/>
      <c r="F27" s="48"/>
      <c r="G27" s="48"/>
      <c r="H27" s="48"/>
      <c r="I27" s="48"/>
      <c r="J27" s="48"/>
      <c r="K27" s="48"/>
      <c r="L27" s="57"/>
      <c r="M27" s="57"/>
    </row>
    <row r="28" spans="1:13" x14ac:dyDescent="0.25">
      <c r="A28" s="48"/>
      <c r="B28" s="671" t="s">
        <v>1392</v>
      </c>
      <c r="C28" s="49"/>
      <c r="D28" s="49"/>
      <c r="E28" s="49"/>
      <c r="F28" s="48"/>
      <c r="G28" s="48"/>
      <c r="H28" s="48"/>
      <c r="I28" s="48"/>
      <c r="J28" s="48"/>
      <c r="K28" s="48"/>
      <c r="L28" s="57"/>
      <c r="M28" s="57"/>
    </row>
    <row r="29" spans="1:13" ht="12.75" customHeight="1" x14ac:dyDescent="0.25">
      <c r="A29" s="48"/>
      <c r="B29" s="121"/>
      <c r="C29" s="49"/>
      <c r="D29" s="49"/>
      <c r="E29" s="49"/>
      <c r="F29" s="48"/>
      <c r="G29" s="48"/>
      <c r="H29" s="48"/>
      <c r="I29" s="48"/>
      <c r="J29" s="48"/>
      <c r="K29" s="48"/>
      <c r="L29" s="57"/>
      <c r="M29" s="57"/>
    </row>
    <row r="30" spans="1:13" ht="18" customHeight="1" x14ac:dyDescent="0.25">
      <c r="A30" s="48"/>
      <c r="B30" s="1620" t="str">
        <f>IF('Project information'!$C$7="Full Certification stage","• Has a User guide been provided?","• Will a User guide be provided?")</f>
        <v>• Will a User guide be provided?</v>
      </c>
      <c r="C30" s="1620"/>
      <c r="D30" s="1620"/>
      <c r="E30" s="1620"/>
      <c r="F30" s="831" t="s">
        <v>62</v>
      </c>
      <c r="G30" s="48"/>
      <c r="H30" s="48"/>
      <c r="I30" s="48"/>
      <c r="J30" s="48"/>
      <c r="K30" s="48"/>
      <c r="L30" s="57"/>
      <c r="M30" s="57"/>
    </row>
    <row r="31" spans="1:13" ht="12.75" customHeight="1" x14ac:dyDescent="0.25">
      <c r="A31" s="48"/>
      <c r="B31" s="121"/>
      <c r="C31" s="49"/>
      <c r="D31" s="49"/>
      <c r="E31" s="49"/>
      <c r="F31" s="48"/>
      <c r="G31" s="48"/>
      <c r="H31" s="48"/>
      <c r="I31" s="48"/>
      <c r="J31" s="48"/>
      <c r="K31" s="48"/>
      <c r="L31" s="57"/>
      <c r="M31" s="57"/>
    </row>
    <row r="32" spans="1:13" ht="18" customHeight="1" x14ac:dyDescent="0.25">
      <c r="A32" s="48"/>
      <c r="B32" s="2383" t="s">
        <v>1385</v>
      </c>
      <c r="C32" s="2384"/>
      <c r="D32" s="2384"/>
      <c r="E32" s="2384"/>
      <c r="F32" s="2384"/>
      <c r="G32" s="48"/>
      <c r="H32" s="48"/>
      <c r="I32" s="48"/>
      <c r="J32" s="48"/>
      <c r="K32" s="48"/>
      <c r="L32" s="57"/>
      <c r="M32" s="57"/>
    </row>
    <row r="33" spans="1:13" ht="18" customHeight="1" x14ac:dyDescent="0.25">
      <c r="A33" s="48"/>
      <c r="B33" s="1620" t="s">
        <v>1387</v>
      </c>
      <c r="C33" s="1620"/>
      <c r="D33" s="1620"/>
      <c r="E33" s="1620"/>
      <c r="F33" s="831" t="s">
        <v>62</v>
      </c>
      <c r="G33" s="48"/>
      <c r="H33" s="48"/>
      <c r="I33" s="48"/>
      <c r="J33" s="48"/>
      <c r="K33" s="48"/>
      <c r="L33" s="57"/>
      <c r="M33" s="57"/>
    </row>
    <row r="34" spans="1:13" ht="18" customHeight="1" x14ac:dyDescent="0.25">
      <c r="A34" s="48"/>
      <c r="B34" s="1620" t="s">
        <v>1137</v>
      </c>
      <c r="C34" s="1620"/>
      <c r="D34" s="1620"/>
      <c r="E34" s="1620"/>
      <c r="F34" s="831" t="s">
        <v>62</v>
      </c>
      <c r="G34" s="48"/>
      <c r="H34" s="48"/>
      <c r="I34" s="48"/>
      <c r="J34" s="48"/>
      <c r="K34" s="48"/>
      <c r="L34" s="57"/>
      <c r="M34" s="57"/>
    </row>
    <row r="35" spans="1:13" ht="18" customHeight="1" x14ac:dyDescent="0.25">
      <c r="A35" s="48"/>
      <c r="B35" s="1620" t="s">
        <v>1138</v>
      </c>
      <c r="C35" s="1620"/>
      <c r="D35" s="1620"/>
      <c r="E35" s="1620"/>
      <c r="F35" s="831" t="s">
        <v>62</v>
      </c>
      <c r="G35" s="48"/>
      <c r="H35" s="48"/>
      <c r="I35" s="48"/>
      <c r="J35" s="48"/>
      <c r="K35" s="48"/>
      <c r="L35" s="57"/>
      <c r="M35" s="57"/>
    </row>
    <row r="36" spans="1:13" ht="18" customHeight="1" x14ac:dyDescent="0.25">
      <c r="A36" s="48"/>
      <c r="B36" s="1620" t="s">
        <v>1139</v>
      </c>
      <c r="C36" s="1620"/>
      <c r="D36" s="1620"/>
      <c r="E36" s="1620"/>
      <c r="F36" s="831" t="s">
        <v>62</v>
      </c>
      <c r="G36" s="48"/>
      <c r="H36" s="48"/>
      <c r="I36" s="48"/>
      <c r="J36" s="48"/>
      <c r="K36" s="48"/>
      <c r="L36" s="57"/>
      <c r="M36" s="57"/>
    </row>
    <row r="37" spans="1:13" ht="18" customHeight="1" x14ac:dyDescent="0.25">
      <c r="A37" s="48"/>
      <c r="B37" s="1620" t="s">
        <v>1140</v>
      </c>
      <c r="C37" s="1620"/>
      <c r="D37" s="1620"/>
      <c r="E37" s="1620"/>
      <c r="F37" s="831" t="s">
        <v>62</v>
      </c>
      <c r="G37" s="48"/>
      <c r="H37" s="48"/>
      <c r="I37" s="48"/>
      <c r="J37" s="48"/>
      <c r="K37" s="48"/>
      <c r="L37" s="57"/>
      <c r="M37" s="57"/>
    </row>
    <row r="38" spans="1:13" ht="18" customHeight="1" x14ac:dyDescent="0.25">
      <c r="A38" s="48"/>
      <c r="B38" s="1620" t="s">
        <v>1141</v>
      </c>
      <c r="C38" s="1620"/>
      <c r="D38" s="1620"/>
      <c r="E38" s="1620"/>
      <c r="F38" s="831" t="s">
        <v>62</v>
      </c>
      <c r="G38" s="48"/>
      <c r="H38" s="48"/>
      <c r="I38" s="48"/>
      <c r="J38" s="48"/>
      <c r="K38" s="48"/>
      <c r="L38" s="57"/>
      <c r="M38" s="57"/>
    </row>
    <row r="39" spans="1:13" ht="18" customHeight="1" x14ac:dyDescent="0.25">
      <c r="A39" s="48"/>
      <c r="B39" s="1620" t="s">
        <v>1142</v>
      </c>
      <c r="C39" s="1620"/>
      <c r="D39" s="1620"/>
      <c r="E39" s="1620"/>
      <c r="F39" s="831" t="s">
        <v>62</v>
      </c>
      <c r="G39" s="48"/>
      <c r="H39" s="48"/>
      <c r="I39" s="48"/>
      <c r="J39" s="48"/>
      <c r="K39" s="48"/>
      <c r="L39" s="57"/>
      <c r="M39" s="57"/>
    </row>
    <row r="40" spans="1:13" ht="18" customHeight="1" x14ac:dyDescent="0.25">
      <c r="A40" s="48"/>
      <c r="B40" s="1620" t="s">
        <v>1143</v>
      </c>
      <c r="C40" s="1620"/>
      <c r="D40" s="1620"/>
      <c r="E40" s="1620"/>
      <c r="F40" s="831" t="s">
        <v>62</v>
      </c>
      <c r="G40" s="48"/>
      <c r="H40" s="48"/>
      <c r="I40" s="48"/>
      <c r="J40" s="48"/>
      <c r="K40" s="48"/>
      <c r="L40" s="57"/>
      <c r="M40" s="57"/>
    </row>
    <row r="41" spans="1:13" ht="18" customHeight="1" x14ac:dyDescent="0.25">
      <c r="A41" s="48"/>
      <c r="B41" s="1620" t="s">
        <v>1144</v>
      </c>
      <c r="C41" s="1620"/>
      <c r="D41" s="1620"/>
      <c r="E41" s="1620"/>
      <c r="F41" s="831" t="s">
        <v>62</v>
      </c>
      <c r="G41" s="48"/>
      <c r="H41" s="48"/>
      <c r="I41" s="48"/>
      <c r="J41" s="48"/>
      <c r="K41" s="48"/>
      <c r="L41" s="57"/>
      <c r="M41" s="57"/>
    </row>
    <row r="42" spans="1:13" ht="18" customHeight="1" x14ac:dyDescent="0.25">
      <c r="A42" s="48"/>
      <c r="B42" s="49"/>
      <c r="C42" s="49"/>
      <c r="D42" s="49"/>
      <c r="E42" s="49"/>
      <c r="F42" s="48"/>
      <c r="G42" s="48"/>
      <c r="H42" s="48"/>
      <c r="I42" s="48"/>
      <c r="J42" s="48"/>
      <c r="K42" s="48"/>
      <c r="L42" s="57"/>
      <c r="M42" s="57"/>
    </row>
    <row r="43" spans="1:13" ht="18" customHeight="1" x14ac:dyDescent="0.25">
      <c r="A43" s="48"/>
      <c r="B43" s="2382" t="s">
        <v>1409</v>
      </c>
      <c r="C43" s="2382"/>
      <c r="D43" s="2382"/>
      <c r="E43" s="157" t="str">
        <f>IF(AND(F30="Yes",COUNTIF(F33:F41,"Yes")=9),"Yes","No")</f>
        <v>No</v>
      </c>
      <c r="F43" s="48"/>
      <c r="G43" s="48"/>
      <c r="H43" s="48"/>
      <c r="I43" s="48"/>
      <c r="J43" s="48"/>
      <c r="K43" s="48"/>
    </row>
    <row r="44" spans="1:13" ht="19.5" customHeight="1" x14ac:dyDescent="0.25">
      <c r="A44" s="48"/>
      <c r="B44" s="49"/>
      <c r="C44" s="49"/>
      <c r="D44" s="49"/>
      <c r="E44" s="48"/>
      <c r="F44" s="48"/>
      <c r="G44" s="48"/>
      <c r="H44" s="48"/>
      <c r="I44" s="48"/>
      <c r="J44" s="48"/>
      <c r="K44" s="48"/>
    </row>
    <row r="45" spans="1:13" ht="16.5" customHeight="1" x14ac:dyDescent="0.25">
      <c r="A45" s="2439" t="s">
        <v>97</v>
      </c>
      <c r="B45" s="2439"/>
      <c r="C45" s="2439"/>
      <c r="D45" s="49"/>
      <c r="E45" s="49"/>
      <c r="F45" s="48"/>
      <c r="G45" s="48"/>
      <c r="H45" s="48"/>
      <c r="I45" s="48"/>
      <c r="J45" s="48"/>
      <c r="K45" s="48"/>
    </row>
    <row r="46" spans="1:13" x14ac:dyDescent="0.25">
      <c r="A46" s="48"/>
      <c r="B46" s="49"/>
      <c r="C46" s="49"/>
      <c r="D46" s="49"/>
      <c r="E46" s="48"/>
      <c r="F46" s="48"/>
      <c r="G46" s="48"/>
      <c r="H46" s="48"/>
      <c r="I46" s="48"/>
      <c r="J46" s="48"/>
      <c r="K46" s="48"/>
    </row>
    <row r="47" spans="1:13" ht="21" customHeight="1" x14ac:dyDescent="0.25">
      <c r="A47" s="48"/>
      <c r="B47" s="2383" t="s">
        <v>98</v>
      </c>
      <c r="C47" s="2384"/>
      <c r="D47" s="2384"/>
      <c r="E47" s="2384"/>
      <c r="F47" s="2384"/>
      <c r="G47" s="830" t="s">
        <v>1297</v>
      </c>
      <c r="H47" s="2385" t="s">
        <v>1298</v>
      </c>
      <c r="I47" s="2386"/>
      <c r="J47" s="48"/>
      <c r="K47" s="48"/>
    </row>
    <row r="48" spans="1:13" ht="27" customHeight="1" x14ac:dyDescent="0.25">
      <c r="A48" s="48"/>
      <c r="B48" s="1644" t="str">
        <f>Submittals!H188</f>
        <v>Select the Submission Stage in Project Information</v>
      </c>
      <c r="C48" s="1645"/>
      <c r="D48" s="1645"/>
      <c r="E48" s="1645"/>
      <c r="F48" s="1646"/>
      <c r="G48" s="828" t="s">
        <v>62</v>
      </c>
      <c r="H48" s="1625"/>
      <c r="I48" s="1626"/>
      <c r="J48" s="48"/>
      <c r="K48" s="48"/>
      <c r="L48" s="37" t="str">
        <f>IF(OR(B48="/",B48="No evidence required at this submission stage"),"Yes",IF(G48="Submitted","Yes","No"))</f>
        <v>No</v>
      </c>
    </row>
    <row r="49" spans="1:13" x14ac:dyDescent="0.25">
      <c r="A49" s="48"/>
      <c r="B49" s="49"/>
      <c r="C49" s="49"/>
      <c r="D49" s="49"/>
      <c r="E49" s="48"/>
      <c r="F49" s="48"/>
      <c r="G49" s="48"/>
      <c r="H49" s="48"/>
      <c r="I49" s="48"/>
      <c r="J49" s="48"/>
      <c r="K49" s="48"/>
    </row>
    <row r="50" spans="1:13" ht="16.5" customHeight="1" x14ac:dyDescent="0.25">
      <c r="A50" s="2439" t="s">
        <v>8</v>
      </c>
      <c r="B50" s="2439"/>
      <c r="C50" s="2439"/>
      <c r="D50" s="49"/>
      <c r="E50" s="49"/>
      <c r="F50" s="48"/>
      <c r="G50" s="48"/>
      <c r="H50" s="48"/>
      <c r="I50" s="48"/>
      <c r="J50" s="48"/>
      <c r="K50" s="48"/>
    </row>
    <row r="51" spans="1:13" x14ac:dyDescent="0.25">
      <c r="A51" s="48"/>
      <c r="B51" s="49"/>
      <c r="C51" s="49"/>
      <c r="D51" s="49"/>
      <c r="E51" s="49"/>
      <c r="F51" s="48"/>
      <c r="G51" s="48"/>
      <c r="H51" s="48"/>
      <c r="I51" s="48"/>
      <c r="J51" s="48"/>
      <c r="K51" s="48"/>
    </row>
    <row r="52" spans="1:13" ht="18" customHeight="1" x14ac:dyDescent="0.25">
      <c r="A52" s="48"/>
      <c r="B52" s="156" t="s">
        <v>19</v>
      </c>
      <c r="C52" s="8">
        <f>IF(E43="Yes",1,0)</f>
        <v>0</v>
      </c>
      <c r="D52" s="49"/>
      <c r="E52" s="48"/>
      <c r="F52" s="48"/>
      <c r="G52" s="48"/>
      <c r="H52" s="48"/>
      <c r="I52" s="48"/>
      <c r="J52" s="48"/>
      <c r="K52" s="48"/>
    </row>
    <row r="53" spans="1:13" ht="18" customHeight="1" x14ac:dyDescent="0.25">
      <c r="A53" s="48"/>
      <c r="B53" s="156" t="s">
        <v>151</v>
      </c>
      <c r="C53" s="116" t="str">
        <f>IF(AND(COUNTIF(L48:L48,"Yes")=1,C52&gt;0),"Yes","No")</f>
        <v>No</v>
      </c>
      <c r="D53" s="49"/>
      <c r="E53" s="49"/>
      <c r="F53" s="48"/>
      <c r="G53" s="48"/>
      <c r="H53" s="48"/>
      <c r="I53" s="48"/>
      <c r="J53" s="48"/>
      <c r="K53" s="48"/>
    </row>
    <row r="54" spans="1:13" ht="20.25" customHeight="1" x14ac:dyDescent="0.25">
      <c r="A54" s="48"/>
      <c r="B54" s="49"/>
      <c r="C54" s="49"/>
      <c r="D54" s="49"/>
      <c r="E54" s="49"/>
      <c r="F54" s="48"/>
      <c r="G54" s="48"/>
      <c r="H54" s="48"/>
      <c r="I54" s="48"/>
      <c r="J54" s="48"/>
      <c r="K54" s="48"/>
    </row>
    <row r="55" spans="1:13" ht="18" customHeight="1" x14ac:dyDescent="0.25">
      <c r="A55" s="2381" t="s">
        <v>1031</v>
      </c>
      <c r="B55" s="2381"/>
      <c r="C55" s="2381"/>
      <c r="D55" s="2381"/>
      <c r="E55" s="2381"/>
      <c r="F55" s="2381"/>
      <c r="G55" s="2381"/>
      <c r="H55" s="2381"/>
      <c r="I55" s="2381"/>
      <c r="J55" s="2381"/>
      <c r="K55" s="2381"/>
    </row>
    <row r="56" spans="1:13" x14ac:dyDescent="0.25">
      <c r="A56" s="48"/>
      <c r="B56" s="49"/>
      <c r="C56" s="49"/>
      <c r="D56" s="49"/>
      <c r="E56" s="49"/>
      <c r="F56" s="48"/>
      <c r="G56" s="48"/>
      <c r="H56" s="48"/>
      <c r="I56" s="48"/>
      <c r="J56" s="48"/>
      <c r="K56" s="48"/>
    </row>
    <row r="57" spans="1:13" ht="16.5" customHeight="1" x14ac:dyDescent="0.25">
      <c r="A57" s="2439" t="s">
        <v>117</v>
      </c>
      <c r="B57" s="2439"/>
      <c r="C57" s="2439"/>
      <c r="D57" s="49"/>
      <c r="E57" s="49"/>
      <c r="F57" s="48"/>
      <c r="G57" s="48"/>
      <c r="H57" s="48"/>
      <c r="I57" s="48"/>
      <c r="J57" s="48"/>
      <c r="K57" s="48"/>
    </row>
    <row r="58" spans="1:13" ht="12" customHeight="1" x14ac:dyDescent="0.25">
      <c r="A58" s="48"/>
      <c r="B58" s="49"/>
      <c r="C58" s="49"/>
      <c r="D58" s="49"/>
      <c r="E58" s="49"/>
      <c r="F58" s="48"/>
      <c r="G58" s="48"/>
      <c r="H58" s="48"/>
      <c r="I58" s="48"/>
      <c r="J58" s="48"/>
      <c r="K58" s="48"/>
    </row>
    <row r="59" spans="1:13" x14ac:dyDescent="0.25">
      <c r="A59" s="48"/>
      <c r="B59" s="625" t="s">
        <v>2413</v>
      </c>
      <c r="C59" s="49"/>
      <c r="D59" s="49"/>
      <c r="E59" s="49"/>
      <c r="F59" s="48"/>
      <c r="G59" s="48"/>
      <c r="H59" s="48"/>
      <c r="I59" s="48"/>
      <c r="J59" s="48"/>
      <c r="K59" s="48"/>
    </row>
    <row r="60" spans="1:13" x14ac:dyDescent="0.25">
      <c r="A60" s="48"/>
      <c r="B60" s="121"/>
      <c r="C60" s="49"/>
      <c r="D60" s="49"/>
      <c r="E60" s="49"/>
      <c r="F60" s="48"/>
      <c r="G60" s="48"/>
      <c r="H60" s="48"/>
      <c r="I60" s="48"/>
      <c r="J60" s="48"/>
      <c r="K60" s="48"/>
    </row>
    <row r="61" spans="1:13" ht="16.5" customHeight="1" x14ac:dyDescent="0.25">
      <c r="A61" s="48"/>
      <c r="B61" s="2448" t="s">
        <v>1393</v>
      </c>
      <c r="C61" s="2449"/>
      <c r="D61" s="2449"/>
      <c r="E61" s="2449"/>
      <c r="F61" s="2449"/>
      <c r="G61" s="2449"/>
      <c r="H61" s="2450"/>
      <c r="I61" s="48"/>
      <c r="J61" s="48"/>
      <c r="K61" s="48"/>
    </row>
    <row r="62" spans="1:13" ht="16.5" customHeight="1" x14ac:dyDescent="0.25">
      <c r="A62" s="48"/>
      <c r="B62" s="1796" t="s">
        <v>1396</v>
      </c>
      <c r="C62" s="1797"/>
      <c r="D62" s="1797"/>
      <c r="E62" s="1797"/>
      <c r="F62" s="1797"/>
      <c r="G62" s="1797"/>
      <c r="H62" s="1798"/>
      <c r="I62" s="48"/>
      <c r="J62" s="48"/>
      <c r="K62" s="48"/>
    </row>
    <row r="63" spans="1:13" ht="16.5" customHeight="1" x14ac:dyDescent="0.25">
      <c r="A63" s="48"/>
      <c r="B63" s="1803" t="s">
        <v>1394</v>
      </c>
      <c r="C63" s="1804"/>
      <c r="D63" s="1804"/>
      <c r="E63" s="1804"/>
      <c r="F63" s="1804"/>
      <c r="G63" s="1804"/>
      <c r="H63" s="1805"/>
      <c r="I63" s="48"/>
      <c r="J63" s="48"/>
      <c r="K63" s="48"/>
      <c r="L63" s="57"/>
      <c r="M63" s="57"/>
    </row>
    <row r="64" spans="1:13" ht="18" customHeight="1" x14ac:dyDescent="0.25">
      <c r="A64" s="48"/>
      <c r="B64" s="48"/>
      <c r="C64" s="48"/>
      <c r="D64" s="48"/>
      <c r="E64" s="48"/>
      <c r="F64" s="48"/>
      <c r="G64" s="48"/>
      <c r="H64" s="48"/>
      <c r="I64" s="48"/>
      <c r="J64" s="48"/>
      <c r="K64" s="48"/>
      <c r="L64" s="57"/>
      <c r="M64" s="57"/>
    </row>
    <row r="65" spans="1:13" ht="18" customHeight="1" x14ac:dyDescent="0.25">
      <c r="A65" s="48"/>
      <c r="B65" s="671" t="s">
        <v>1004</v>
      </c>
      <c r="C65" s="48"/>
      <c r="D65" s="48"/>
      <c r="E65" s="48"/>
      <c r="F65" s="48"/>
      <c r="G65" s="48"/>
      <c r="H65" s="48"/>
      <c r="I65" s="48"/>
      <c r="J65" s="48"/>
      <c r="K65" s="48"/>
      <c r="L65" s="57"/>
      <c r="M65" s="57"/>
    </row>
    <row r="66" spans="1:13" x14ac:dyDescent="0.25">
      <c r="A66" s="48"/>
      <c r="B66" s="48"/>
      <c r="C66" s="48"/>
      <c r="D66" s="48"/>
      <c r="E66" s="48"/>
      <c r="F66" s="48"/>
      <c r="G66" s="48"/>
      <c r="H66" s="48"/>
      <c r="I66" s="48"/>
      <c r="J66" s="48"/>
      <c r="K66" s="48"/>
      <c r="L66" s="57"/>
      <c r="M66" s="57"/>
    </row>
    <row r="67" spans="1:13" ht="18" customHeight="1" x14ac:dyDescent="0.25">
      <c r="A67" s="48"/>
      <c r="B67" s="1620" t="str">
        <f>IF('Project information'!C92="Full Certification stage","• Has a Green Training been provided to all the occupants?","• Will a Green Training be provided to all the occupants?")</f>
        <v>• Will a Green Training be provided to all the occupants?</v>
      </c>
      <c r="C67" s="1620"/>
      <c r="D67" s="1620"/>
      <c r="E67" s="1620"/>
      <c r="F67" s="831" t="s">
        <v>62</v>
      </c>
      <c r="G67" s="48"/>
      <c r="H67" s="48"/>
      <c r="I67" s="48"/>
      <c r="J67" s="48"/>
      <c r="K67" s="48"/>
      <c r="L67" s="57"/>
      <c r="M67" s="57"/>
    </row>
    <row r="68" spans="1:13" ht="15.75" customHeight="1" x14ac:dyDescent="0.25">
      <c r="A68" s="48"/>
      <c r="B68" s="121"/>
      <c r="C68" s="49"/>
      <c r="D68" s="49"/>
      <c r="E68" s="49"/>
      <c r="F68" s="48"/>
      <c r="G68" s="48"/>
      <c r="H68" s="48"/>
      <c r="I68" s="48"/>
      <c r="J68" s="48"/>
      <c r="K68" s="48"/>
      <c r="L68" s="57"/>
      <c r="M68" s="57"/>
    </row>
    <row r="69" spans="1:13" ht="18" customHeight="1" x14ac:dyDescent="0.25">
      <c r="A69" s="48"/>
      <c r="B69" s="2383" t="s">
        <v>1411</v>
      </c>
      <c r="C69" s="2384"/>
      <c r="D69" s="2384"/>
      <c r="E69" s="2384"/>
      <c r="F69" s="2384"/>
      <c r="G69" s="48"/>
      <c r="H69" s="48"/>
      <c r="I69" s="48"/>
      <c r="J69" s="48"/>
      <c r="K69" s="48"/>
      <c r="L69" s="57"/>
      <c r="M69" s="57"/>
    </row>
    <row r="70" spans="1:13" ht="18" customHeight="1" x14ac:dyDescent="0.25">
      <c r="A70" s="48"/>
      <c r="B70" s="1620" t="s">
        <v>1395</v>
      </c>
      <c r="C70" s="1620"/>
      <c r="D70" s="1620"/>
      <c r="E70" s="1620"/>
      <c r="F70" s="831" t="s">
        <v>62</v>
      </c>
      <c r="G70" s="48"/>
      <c r="H70" s="48"/>
      <c r="I70" s="48"/>
      <c r="J70" s="48"/>
      <c r="K70" s="48"/>
      <c r="L70" s="57"/>
      <c r="M70" s="57"/>
    </row>
    <row r="71" spans="1:13" ht="18" customHeight="1" x14ac:dyDescent="0.25">
      <c r="A71" s="48"/>
      <c r="B71" s="1620" t="s">
        <v>1397</v>
      </c>
      <c r="C71" s="1620"/>
      <c r="D71" s="1620"/>
      <c r="E71" s="1620"/>
      <c r="F71" s="831" t="s">
        <v>62</v>
      </c>
      <c r="G71" s="48"/>
      <c r="H71" s="48"/>
      <c r="I71" s="48"/>
      <c r="J71" s="48"/>
      <c r="K71" s="48"/>
      <c r="L71" s="57"/>
      <c r="M71" s="57"/>
    </row>
    <row r="72" spans="1:13" ht="18" customHeight="1" x14ac:dyDescent="0.25">
      <c r="A72" s="48"/>
      <c r="B72" s="1620" t="s">
        <v>1410</v>
      </c>
      <c r="C72" s="1620"/>
      <c r="D72" s="1620"/>
      <c r="E72" s="1620"/>
      <c r="F72" s="831" t="s">
        <v>62</v>
      </c>
      <c r="G72" s="48"/>
      <c r="H72" s="48"/>
      <c r="I72" s="48"/>
      <c r="J72" s="48"/>
      <c r="K72" s="48"/>
      <c r="L72" s="57"/>
      <c r="M72" s="57"/>
    </row>
    <row r="73" spans="1:13" ht="18" customHeight="1" x14ac:dyDescent="0.25">
      <c r="A73" s="48"/>
      <c r="B73" s="1620" t="s">
        <v>1398</v>
      </c>
      <c r="C73" s="1620"/>
      <c r="D73" s="1620"/>
      <c r="E73" s="1620"/>
      <c r="F73" s="831" t="s">
        <v>62</v>
      </c>
      <c r="G73" s="48"/>
      <c r="H73" s="48"/>
      <c r="I73" s="48"/>
      <c r="J73" s="48"/>
      <c r="K73" s="48"/>
      <c r="L73" s="57"/>
      <c r="M73" s="57"/>
    </row>
    <row r="74" spans="1:13" ht="18" customHeight="1" x14ac:dyDescent="0.25">
      <c r="A74" s="48"/>
      <c r="B74" s="1620" t="s">
        <v>1412</v>
      </c>
      <c r="C74" s="1620"/>
      <c r="D74" s="1620"/>
      <c r="E74" s="1620"/>
      <c r="F74" s="831" t="s">
        <v>62</v>
      </c>
      <c r="G74" s="48"/>
      <c r="H74" s="48"/>
      <c r="I74" s="48"/>
      <c r="J74" s="48"/>
      <c r="K74" s="48"/>
      <c r="L74" s="57"/>
      <c r="M74" s="57"/>
    </row>
    <row r="75" spans="1:13" ht="18" customHeight="1" x14ac:dyDescent="0.25">
      <c r="A75" s="48"/>
      <c r="B75" s="1620" t="s">
        <v>1413</v>
      </c>
      <c r="C75" s="1620"/>
      <c r="D75" s="1620"/>
      <c r="E75" s="1620"/>
      <c r="F75" s="831" t="s">
        <v>62</v>
      </c>
      <c r="G75" s="48"/>
      <c r="H75" s="48"/>
      <c r="I75" s="48"/>
      <c r="J75" s="48"/>
      <c r="K75" s="48"/>
      <c r="L75" s="57"/>
      <c r="M75" s="57"/>
    </row>
    <row r="76" spans="1:13" ht="18" customHeight="1" x14ac:dyDescent="0.25">
      <c r="A76" s="48"/>
      <c r="B76" s="1620" t="s">
        <v>1414</v>
      </c>
      <c r="C76" s="1620"/>
      <c r="D76" s="1620"/>
      <c r="E76" s="1620"/>
      <c r="F76" s="831" t="s">
        <v>62</v>
      </c>
      <c r="G76" s="48"/>
      <c r="H76" s="48"/>
      <c r="I76" s="48"/>
      <c r="J76" s="48"/>
      <c r="K76" s="48"/>
      <c r="L76" s="57"/>
      <c r="M76" s="57"/>
    </row>
    <row r="77" spans="1:13" ht="12" customHeight="1" x14ac:dyDescent="0.25">
      <c r="A77" s="48"/>
      <c r="B77" s="49"/>
      <c r="C77" s="49"/>
      <c r="D77" s="49"/>
      <c r="E77" s="49"/>
      <c r="F77" s="48"/>
      <c r="G77" s="48"/>
      <c r="H77" s="48"/>
      <c r="I77" s="48"/>
      <c r="J77" s="48"/>
      <c r="K77" s="48"/>
    </row>
    <row r="78" spans="1:13" ht="18" customHeight="1" x14ac:dyDescent="0.25">
      <c r="A78" s="48"/>
      <c r="B78" s="2382" t="s">
        <v>1408</v>
      </c>
      <c r="C78" s="2382"/>
      <c r="D78" s="2382"/>
      <c r="E78" s="157" t="str">
        <f>IF(AND(F67="Yes",COUNTIF(F70:F76,"Yes")=7),"Yes","No")</f>
        <v>No</v>
      </c>
      <c r="F78" s="48"/>
      <c r="G78" s="48"/>
      <c r="H78" s="48"/>
      <c r="I78" s="48"/>
      <c r="J78" s="48"/>
      <c r="K78" s="48"/>
    </row>
    <row r="79" spans="1:13" ht="18.75" customHeight="1" x14ac:dyDescent="0.25">
      <c r="A79" s="48"/>
      <c r="B79" s="49"/>
      <c r="C79" s="49"/>
      <c r="D79" s="49"/>
      <c r="E79" s="48"/>
      <c r="F79" s="48"/>
      <c r="G79" s="48"/>
      <c r="H79" s="48"/>
      <c r="I79" s="48"/>
      <c r="J79" s="48"/>
      <c r="K79" s="48"/>
    </row>
    <row r="80" spans="1:13" ht="16.5" customHeight="1" x14ac:dyDescent="0.25">
      <c r="A80" s="2439" t="s">
        <v>97</v>
      </c>
      <c r="B80" s="2439"/>
      <c r="C80" s="2439"/>
      <c r="D80" s="49"/>
      <c r="E80" s="49"/>
      <c r="F80" s="48"/>
      <c r="G80" s="48"/>
      <c r="H80" s="48"/>
      <c r="I80" s="48"/>
      <c r="J80" s="48"/>
      <c r="K80" s="48"/>
    </row>
    <row r="81" spans="1:12" x14ac:dyDescent="0.25">
      <c r="A81" s="48"/>
      <c r="B81" s="49"/>
      <c r="C81" s="49"/>
      <c r="D81" s="49"/>
      <c r="E81" s="48"/>
      <c r="F81" s="48"/>
      <c r="G81" s="48"/>
      <c r="H81" s="48"/>
      <c r="I81" s="48"/>
      <c r="J81" s="48"/>
      <c r="K81" s="48"/>
    </row>
    <row r="82" spans="1:12" ht="21" customHeight="1" x14ac:dyDescent="0.25">
      <c r="A82" s="48"/>
      <c r="B82" s="2383" t="s">
        <v>98</v>
      </c>
      <c r="C82" s="2384"/>
      <c r="D82" s="2384"/>
      <c r="E82" s="2384"/>
      <c r="F82" s="2384"/>
      <c r="G82" s="830" t="s">
        <v>1297</v>
      </c>
      <c r="H82" s="2385" t="s">
        <v>1298</v>
      </c>
      <c r="I82" s="2386"/>
      <c r="J82" s="48"/>
      <c r="K82" s="48"/>
    </row>
    <row r="83" spans="1:12" ht="27.75" customHeight="1" x14ac:dyDescent="0.25">
      <c r="A83" s="48"/>
      <c r="B83" s="1644" t="str">
        <f>Submittals!H190</f>
        <v>Select the Submission Stage in Project Information</v>
      </c>
      <c r="C83" s="1645"/>
      <c r="D83" s="1645"/>
      <c r="E83" s="1645"/>
      <c r="F83" s="1646"/>
      <c r="G83" s="833" t="s">
        <v>62</v>
      </c>
      <c r="H83" s="1625"/>
      <c r="I83" s="1626"/>
      <c r="J83" s="48"/>
      <c r="K83" s="48"/>
      <c r="L83" s="37" t="str">
        <f>IF(OR(B83="/",B83="No evidence required at this submission stage"),"Yes",IF(G83="Submitted","Yes","No"))</f>
        <v>No</v>
      </c>
    </row>
    <row r="84" spans="1:12" ht="30" customHeight="1" x14ac:dyDescent="0.25">
      <c r="A84" s="48"/>
      <c r="B84" s="1644" t="str">
        <f>Submittals!H191</f>
        <v>Select the Submission Stage in Project Information</v>
      </c>
      <c r="C84" s="1645"/>
      <c r="D84" s="1645"/>
      <c r="E84" s="1645"/>
      <c r="F84" s="1646"/>
      <c r="G84" s="833" t="s">
        <v>62</v>
      </c>
      <c r="H84" s="1625"/>
      <c r="I84" s="1626"/>
      <c r="J84" s="48"/>
      <c r="K84" s="48"/>
      <c r="L84" s="37" t="str">
        <f>IF(OR(B84="/",B84="No evidence required at this submission stage"),"Yes",IF(G84="Submitted","Yes","No"))</f>
        <v>No</v>
      </c>
    </row>
    <row r="85" spans="1:12" ht="18.75" customHeight="1" x14ac:dyDescent="0.25">
      <c r="A85" s="48"/>
      <c r="B85" s="49"/>
      <c r="C85" s="49"/>
      <c r="D85" s="49"/>
      <c r="E85" s="48"/>
      <c r="F85" s="48"/>
      <c r="G85" s="48"/>
      <c r="H85" s="48"/>
      <c r="I85" s="48"/>
      <c r="J85" s="48"/>
      <c r="K85" s="48"/>
    </row>
    <row r="86" spans="1:12" ht="16.5" customHeight="1" x14ac:dyDescent="0.25">
      <c r="A86" s="2439" t="s">
        <v>8</v>
      </c>
      <c r="B86" s="2439"/>
      <c r="C86" s="2439"/>
      <c r="D86" s="49"/>
      <c r="E86" s="49"/>
      <c r="F86" s="48"/>
      <c r="G86" s="48"/>
      <c r="H86" s="48"/>
      <c r="I86" s="48"/>
      <c r="J86" s="48"/>
      <c r="K86" s="48"/>
    </row>
    <row r="87" spans="1:12" x14ac:dyDescent="0.25">
      <c r="A87" s="48"/>
      <c r="B87" s="49"/>
      <c r="C87" s="49"/>
      <c r="D87" s="49"/>
      <c r="E87" s="49"/>
      <c r="F87" s="48"/>
      <c r="G87" s="48"/>
      <c r="H87" s="48"/>
      <c r="I87" s="48"/>
      <c r="J87" s="48"/>
      <c r="K87" s="48"/>
    </row>
    <row r="88" spans="1:12" ht="18" customHeight="1" x14ac:dyDescent="0.25">
      <c r="A88" s="48"/>
      <c r="B88" s="156" t="s">
        <v>19</v>
      </c>
      <c r="C88" s="8">
        <f>IF(E78="Yes",1,0)</f>
        <v>0</v>
      </c>
      <c r="D88" s="49"/>
      <c r="E88" s="48"/>
      <c r="F88" s="48"/>
      <c r="G88" s="48"/>
      <c r="H88" s="48"/>
      <c r="I88" s="48"/>
      <c r="J88" s="48"/>
      <c r="K88" s="48"/>
    </row>
    <row r="89" spans="1:12" ht="18" customHeight="1" x14ac:dyDescent="0.25">
      <c r="A89" s="48"/>
      <c r="B89" s="156" t="s">
        <v>151</v>
      </c>
      <c r="C89" s="116" t="str">
        <f>IF(AND(COUNTIF(L83:L84,"Yes")=2,C88&gt;0),"Yes","No")</f>
        <v>No</v>
      </c>
      <c r="D89" s="49"/>
      <c r="E89" s="49"/>
      <c r="F89" s="48"/>
      <c r="G89" s="48"/>
      <c r="H89" s="48"/>
      <c r="I89" s="48"/>
      <c r="J89" s="48"/>
      <c r="K89" s="48"/>
    </row>
    <row r="90" spans="1:12" ht="21" customHeight="1" x14ac:dyDescent="0.25">
      <c r="A90" s="48"/>
      <c r="B90" s="49"/>
      <c r="C90" s="49"/>
      <c r="D90" s="49"/>
      <c r="E90" s="49"/>
      <c r="F90" s="48"/>
      <c r="G90" s="48"/>
      <c r="H90" s="48"/>
      <c r="I90" s="48"/>
      <c r="J90" s="48"/>
      <c r="K90" s="48"/>
    </row>
    <row r="91" spans="1:12" ht="18" customHeight="1" x14ac:dyDescent="0.25">
      <c r="A91" s="2381" t="s">
        <v>1030</v>
      </c>
      <c r="B91" s="2381"/>
      <c r="C91" s="2381"/>
      <c r="D91" s="2381"/>
      <c r="E91" s="2381"/>
      <c r="F91" s="2381"/>
      <c r="G91" s="2381"/>
      <c r="H91" s="2381"/>
      <c r="I91" s="2381"/>
      <c r="J91" s="2381"/>
      <c r="K91" s="2381"/>
    </row>
    <row r="92" spans="1:12" x14ac:dyDescent="0.25">
      <c r="A92" s="48"/>
      <c r="B92" s="49"/>
      <c r="C92" s="49"/>
      <c r="D92" s="49"/>
      <c r="E92" s="49"/>
      <c r="F92" s="48"/>
      <c r="G92" s="48"/>
      <c r="H92" s="48"/>
      <c r="I92" s="48"/>
      <c r="J92" s="48"/>
      <c r="K92" s="48"/>
    </row>
    <row r="93" spans="1:12" ht="16.5" customHeight="1" x14ac:dyDescent="0.25">
      <c r="A93" s="2439" t="s">
        <v>117</v>
      </c>
      <c r="B93" s="2439"/>
      <c r="C93" s="2439"/>
      <c r="D93" s="49"/>
      <c r="E93" s="49"/>
      <c r="F93" s="48"/>
      <c r="G93" s="48"/>
      <c r="H93" s="48"/>
      <c r="I93" s="48"/>
      <c r="J93" s="48"/>
      <c r="K93" s="48"/>
    </row>
    <row r="94" spans="1:12" ht="12" customHeight="1" x14ac:dyDescent="0.25">
      <c r="A94" s="48"/>
      <c r="B94" s="49"/>
      <c r="C94" s="49"/>
      <c r="D94" s="49"/>
      <c r="E94" s="49"/>
      <c r="F94" s="48"/>
      <c r="G94" s="48"/>
      <c r="H94" s="48"/>
      <c r="I94" s="48"/>
      <c r="J94" s="48"/>
      <c r="K94" s="48"/>
    </row>
    <row r="95" spans="1:12" x14ac:dyDescent="0.25">
      <c r="A95" s="48"/>
      <c r="B95" s="625" t="s">
        <v>1419</v>
      </c>
      <c r="C95" s="49"/>
      <c r="D95" s="49"/>
      <c r="E95" s="49"/>
      <c r="F95" s="48"/>
      <c r="G95" s="48"/>
      <c r="H95" s="48"/>
      <c r="I95" s="48"/>
      <c r="J95" s="48"/>
      <c r="K95" s="48"/>
    </row>
    <row r="96" spans="1:12" x14ac:dyDescent="0.25">
      <c r="A96" s="48"/>
      <c r="B96" s="49"/>
      <c r="C96" s="49"/>
      <c r="D96" s="49"/>
      <c r="E96" s="49"/>
      <c r="F96" s="48"/>
      <c r="G96" s="48"/>
      <c r="H96" s="48"/>
      <c r="I96" s="48"/>
      <c r="J96" s="48"/>
      <c r="K96" s="48"/>
    </row>
    <row r="97" spans="1:13" x14ac:dyDescent="0.25">
      <c r="A97" s="48"/>
      <c r="B97" s="2448" t="s">
        <v>1416</v>
      </c>
      <c r="C97" s="2449"/>
      <c r="D97" s="2449"/>
      <c r="E97" s="2449"/>
      <c r="F97" s="2449"/>
      <c r="G97" s="2449"/>
      <c r="H97" s="2449"/>
      <c r="I97" s="2450"/>
      <c r="J97" s="48"/>
      <c r="K97" s="48"/>
    </row>
    <row r="98" spans="1:13" x14ac:dyDescent="0.25">
      <c r="A98" s="48"/>
      <c r="B98" s="1796" t="s">
        <v>1417</v>
      </c>
      <c r="C98" s="1797"/>
      <c r="D98" s="1797"/>
      <c r="E98" s="1797"/>
      <c r="F98" s="1797"/>
      <c r="G98" s="1797"/>
      <c r="H98" s="1797"/>
      <c r="I98" s="1798"/>
      <c r="J98" s="48"/>
      <c r="K98" s="48"/>
    </row>
    <row r="99" spans="1:13" x14ac:dyDescent="0.25">
      <c r="A99" s="48"/>
      <c r="B99" s="2354" t="s">
        <v>1418</v>
      </c>
      <c r="C99" s="2355"/>
      <c r="D99" s="2355"/>
      <c r="E99" s="2355"/>
      <c r="F99" s="2355"/>
      <c r="G99" s="2355"/>
      <c r="H99" s="2355"/>
      <c r="I99" s="2356"/>
      <c r="J99" s="48"/>
      <c r="K99" s="48"/>
    </row>
    <row r="100" spans="1:13" ht="16.5" customHeight="1" x14ac:dyDescent="0.25">
      <c r="A100" s="48"/>
      <c r="B100" s="49"/>
      <c r="C100" s="49"/>
      <c r="D100" s="49"/>
      <c r="E100" s="49"/>
      <c r="F100" s="48"/>
      <c r="G100" s="48"/>
      <c r="H100" s="48"/>
      <c r="I100" s="48"/>
      <c r="J100" s="48"/>
      <c r="K100" s="48"/>
    </row>
    <row r="101" spans="1:13" ht="18" customHeight="1" x14ac:dyDescent="0.25">
      <c r="A101" s="48"/>
      <c r="B101" s="671" t="s">
        <v>1004</v>
      </c>
      <c r="C101" s="49"/>
      <c r="D101" s="49"/>
      <c r="E101" s="49"/>
      <c r="F101" s="48"/>
      <c r="G101" s="48"/>
      <c r="H101" s="48"/>
      <c r="I101" s="48"/>
      <c r="J101" s="48"/>
      <c r="K101" s="48"/>
    </row>
    <row r="102" spans="1:13" x14ac:dyDescent="0.25">
      <c r="A102" s="48"/>
      <c r="B102" s="48"/>
      <c r="C102" s="48"/>
      <c r="D102" s="48"/>
      <c r="E102" s="48"/>
      <c r="F102" s="48"/>
      <c r="G102" s="48"/>
      <c r="H102" s="48"/>
      <c r="I102" s="48"/>
      <c r="J102" s="48"/>
      <c r="K102" s="48"/>
      <c r="L102" s="57"/>
      <c r="M102" s="57"/>
    </row>
    <row r="103" spans="1:13" ht="18" customHeight="1" x14ac:dyDescent="0.25">
      <c r="A103" s="48"/>
      <c r="B103" s="1620" t="str">
        <f>IF('Project information'!$C$7="Full Certification stage","• Has a permanent green awareness campaign been implemented?","• Will a permanent green awareness campaign be implemented?")</f>
        <v>• Will a permanent green awareness campaign be implemented?</v>
      </c>
      <c r="C103" s="1620"/>
      <c r="D103" s="1620"/>
      <c r="E103" s="1620"/>
      <c r="F103" s="831" t="s">
        <v>62</v>
      </c>
      <c r="G103" s="48"/>
      <c r="H103" s="48"/>
      <c r="I103" s="48"/>
      <c r="J103" s="48"/>
      <c r="K103" s="48"/>
      <c r="L103" s="57"/>
      <c r="M103" s="57"/>
    </row>
    <row r="104" spans="1:13" ht="15.75" customHeight="1" x14ac:dyDescent="0.25">
      <c r="A104" s="48"/>
      <c r="B104" s="48"/>
      <c r="C104" s="48"/>
      <c r="D104" s="48"/>
      <c r="E104" s="48"/>
      <c r="F104" s="48"/>
      <c r="G104" s="48"/>
      <c r="H104" s="48"/>
      <c r="I104" s="48"/>
      <c r="J104" s="48"/>
      <c r="K104" s="48"/>
      <c r="L104" s="57"/>
      <c r="M104" s="57"/>
    </row>
    <row r="105" spans="1:13" ht="18" customHeight="1" x14ac:dyDescent="0.25">
      <c r="A105" s="48"/>
      <c r="B105" s="2451" t="str">
        <f>IF('Project information'!$C$7="Full Certification stage","Is the following information displayed in the green awareness campaign?","Will the following information be displayed in the green awareness campaign?")</f>
        <v>Will the following information be displayed in the green awareness campaign?</v>
      </c>
      <c r="C105" s="2452"/>
      <c r="D105" s="2452"/>
      <c r="E105" s="2452"/>
      <c r="F105" s="2452"/>
      <c r="G105" s="2452" t="s">
        <v>15</v>
      </c>
      <c r="H105" s="2452"/>
      <c r="I105" s="2454"/>
      <c r="J105" s="48"/>
      <c r="K105" s="48"/>
      <c r="L105" s="57"/>
      <c r="M105" s="57"/>
    </row>
    <row r="106" spans="1:13" ht="18" customHeight="1" x14ac:dyDescent="0.25">
      <c r="A106" s="48"/>
      <c r="B106" s="2453" t="s">
        <v>1420</v>
      </c>
      <c r="C106" s="2453"/>
      <c r="D106" s="2453"/>
      <c r="E106" s="2453"/>
      <c r="F106" s="1272" t="s">
        <v>62</v>
      </c>
      <c r="G106" s="1625"/>
      <c r="H106" s="1662"/>
      <c r="I106" s="1626"/>
      <c r="J106" s="48"/>
      <c r="K106" s="48"/>
      <c r="L106" s="57"/>
      <c r="M106" s="57"/>
    </row>
    <row r="107" spans="1:13" ht="18" customHeight="1" x14ac:dyDescent="0.25">
      <c r="A107" s="48"/>
      <c r="B107" s="1620" t="s">
        <v>1421</v>
      </c>
      <c r="C107" s="1620"/>
      <c r="D107" s="1620"/>
      <c r="E107" s="1620"/>
      <c r="F107" s="1273" t="s">
        <v>62</v>
      </c>
      <c r="G107" s="1625"/>
      <c r="H107" s="1662"/>
      <c r="I107" s="1626"/>
      <c r="J107" s="48"/>
      <c r="K107" s="48"/>
      <c r="L107" s="57"/>
      <c r="M107" s="57"/>
    </row>
    <row r="108" spans="1:13" ht="18" customHeight="1" x14ac:dyDescent="0.25">
      <c r="A108" s="48"/>
      <c r="B108" s="1620" t="s">
        <v>1422</v>
      </c>
      <c r="C108" s="1620"/>
      <c r="D108" s="1620"/>
      <c r="E108" s="1620"/>
      <c r="F108" s="1273" t="s">
        <v>62</v>
      </c>
      <c r="G108" s="1625"/>
      <c r="H108" s="1662"/>
      <c r="I108" s="1626"/>
      <c r="J108" s="48"/>
      <c r="K108" s="48"/>
      <c r="L108" s="57"/>
      <c r="M108" s="57"/>
    </row>
    <row r="109" spans="1:13" ht="18" customHeight="1" x14ac:dyDescent="0.25">
      <c r="A109" s="48"/>
      <c r="B109" s="1620" t="s">
        <v>1423</v>
      </c>
      <c r="C109" s="1620"/>
      <c r="D109" s="1620"/>
      <c r="E109" s="1620"/>
      <c r="F109" s="1273" t="s">
        <v>62</v>
      </c>
      <c r="G109" s="1625"/>
      <c r="H109" s="1662"/>
      <c r="I109" s="1626"/>
      <c r="J109" s="48"/>
      <c r="K109" s="48"/>
      <c r="L109" s="57"/>
      <c r="M109" s="57"/>
    </row>
    <row r="110" spans="1:13" ht="18" customHeight="1" x14ac:dyDescent="0.25">
      <c r="A110" s="48"/>
      <c r="B110" s="49"/>
      <c r="C110" s="49"/>
      <c r="D110" s="49"/>
      <c r="E110" s="49"/>
      <c r="F110" s="48"/>
      <c r="G110" s="48"/>
      <c r="H110" s="48"/>
      <c r="I110" s="48"/>
      <c r="J110" s="48"/>
      <c r="K110" s="48"/>
    </row>
    <row r="111" spans="1:13" ht="18" customHeight="1" x14ac:dyDescent="0.25">
      <c r="A111" s="48"/>
      <c r="B111" s="2382" t="s">
        <v>1415</v>
      </c>
      <c r="C111" s="2382"/>
      <c r="D111" s="2382"/>
      <c r="E111" s="157" t="str">
        <f>IF(AND(F103="Yes",COUNTIF(F106:F109,"Yes")=4),"Yes","No")</f>
        <v>No</v>
      </c>
      <c r="F111" s="48"/>
      <c r="G111" s="48"/>
      <c r="H111" s="48"/>
      <c r="I111" s="48"/>
      <c r="J111" s="48"/>
      <c r="K111" s="48"/>
    </row>
    <row r="112" spans="1:13" ht="18.75" customHeight="1" x14ac:dyDescent="0.25">
      <c r="A112" s="48"/>
      <c r="B112" s="49"/>
      <c r="C112" s="49"/>
      <c r="D112" s="49"/>
      <c r="E112" s="48"/>
      <c r="F112" s="48"/>
      <c r="G112" s="48"/>
      <c r="H112" s="48"/>
      <c r="I112" s="48"/>
      <c r="J112" s="48"/>
      <c r="K112" s="48"/>
    </row>
    <row r="113" spans="1:13" ht="16.5" customHeight="1" x14ac:dyDescent="0.25">
      <c r="A113" s="2439" t="s">
        <v>97</v>
      </c>
      <c r="B113" s="2439"/>
      <c r="C113" s="2439"/>
      <c r="D113" s="49"/>
      <c r="E113" s="49"/>
      <c r="F113" s="48"/>
      <c r="G113" s="48"/>
      <c r="H113" s="48"/>
      <c r="I113" s="48"/>
      <c r="J113" s="48"/>
      <c r="K113" s="48"/>
    </row>
    <row r="114" spans="1:13" x14ac:dyDescent="0.25">
      <c r="A114" s="48"/>
      <c r="B114" s="49"/>
      <c r="C114" s="49"/>
      <c r="D114" s="49"/>
      <c r="E114" s="48"/>
      <c r="F114" s="48"/>
      <c r="G114" s="48"/>
      <c r="H114" s="48"/>
      <c r="I114" s="48"/>
      <c r="J114" s="48"/>
      <c r="K114" s="48"/>
    </row>
    <row r="115" spans="1:13" ht="21" customHeight="1" x14ac:dyDescent="0.25">
      <c r="A115" s="48"/>
      <c r="B115" s="2383" t="s">
        <v>98</v>
      </c>
      <c r="C115" s="2384"/>
      <c r="D115" s="2384"/>
      <c r="E115" s="2384"/>
      <c r="F115" s="2384"/>
      <c r="G115" s="830" t="s">
        <v>1297</v>
      </c>
      <c r="H115" s="2385" t="s">
        <v>1298</v>
      </c>
      <c r="I115" s="2386"/>
      <c r="J115" s="48"/>
      <c r="K115" s="48"/>
    </row>
    <row r="116" spans="1:13" ht="27" customHeight="1" x14ac:dyDescent="0.25">
      <c r="A116" s="48"/>
      <c r="B116" s="1644" t="str">
        <f>Submittals!H192</f>
        <v>Select the Submission Stage in Project Information</v>
      </c>
      <c r="C116" s="1645"/>
      <c r="D116" s="1645"/>
      <c r="E116" s="1645"/>
      <c r="F116" s="1646"/>
      <c r="G116" s="833" t="s">
        <v>62</v>
      </c>
      <c r="H116" s="1625"/>
      <c r="I116" s="1626"/>
      <c r="J116" s="48"/>
      <c r="K116" s="48"/>
      <c r="L116" s="37" t="str">
        <f>IF(OR(B116="/",B116="No evidence required at this submission stage"),"Yes",IF(G116="Submitted","Yes","No"))</f>
        <v>No</v>
      </c>
    </row>
    <row r="117" spans="1:13" ht="30" customHeight="1" x14ac:dyDescent="0.25">
      <c r="A117" s="48"/>
      <c r="B117" s="1644" t="str">
        <f>Submittals!H193</f>
        <v>Select the Submission Stage in Project Information</v>
      </c>
      <c r="C117" s="1645"/>
      <c r="D117" s="1645"/>
      <c r="E117" s="1645"/>
      <c r="F117" s="1646"/>
      <c r="G117" s="1254" t="s">
        <v>62</v>
      </c>
      <c r="H117" s="1625"/>
      <c r="I117" s="1626"/>
      <c r="J117" s="48"/>
      <c r="K117" s="48"/>
      <c r="L117" s="37" t="str">
        <f>IF(OR(B117="/",B117="No evidence required at this submission stage"),"Yes",IF(G117="Submitted","Yes","No"))</f>
        <v>No</v>
      </c>
    </row>
    <row r="118" spans="1:13" ht="18" customHeight="1" x14ac:dyDescent="0.25">
      <c r="A118" s="48"/>
      <c r="B118" s="49"/>
      <c r="C118" s="49"/>
      <c r="D118" s="49"/>
      <c r="E118" s="48"/>
      <c r="F118" s="48"/>
      <c r="G118" s="48"/>
      <c r="H118" s="48"/>
      <c r="I118" s="48"/>
      <c r="J118" s="48"/>
      <c r="K118" s="48"/>
    </row>
    <row r="119" spans="1:13" ht="16.5" customHeight="1" x14ac:dyDescent="0.25">
      <c r="A119" s="2439" t="s">
        <v>8</v>
      </c>
      <c r="B119" s="2439"/>
      <c r="C119" s="2439"/>
      <c r="D119" s="49"/>
      <c r="E119" s="49"/>
      <c r="F119" s="48"/>
      <c r="G119" s="48"/>
      <c r="H119" s="48"/>
      <c r="I119" s="48"/>
      <c r="J119" s="48"/>
      <c r="K119" s="48"/>
    </row>
    <row r="120" spans="1:13" ht="16.5" customHeight="1" x14ac:dyDescent="0.25">
      <c r="A120" s="48"/>
      <c r="B120" s="49"/>
      <c r="C120" s="49"/>
      <c r="D120" s="49"/>
      <c r="E120" s="49"/>
      <c r="F120" s="48"/>
      <c r="G120" s="48"/>
      <c r="H120" s="48"/>
      <c r="I120" s="48"/>
      <c r="J120" s="48"/>
      <c r="K120" s="48"/>
    </row>
    <row r="121" spans="1:13" ht="18" customHeight="1" x14ac:dyDescent="0.25">
      <c r="A121" s="48"/>
      <c r="B121" s="156" t="s">
        <v>19</v>
      </c>
      <c r="C121" s="8">
        <f>IF(E111="Yes",1,0)</f>
        <v>0</v>
      </c>
      <c r="D121" s="49"/>
      <c r="E121" s="48"/>
      <c r="F121" s="48"/>
      <c r="G121" s="48"/>
      <c r="H121" s="48"/>
      <c r="I121" s="48"/>
      <c r="J121" s="48"/>
      <c r="K121" s="48"/>
    </row>
    <row r="122" spans="1:13" ht="18" customHeight="1" x14ac:dyDescent="0.25">
      <c r="A122" s="48"/>
      <c r="B122" s="156" t="s">
        <v>151</v>
      </c>
      <c r="C122" s="116" t="str">
        <f>IF(AND(COUNTIF(L116:L117,"Yes")=2,C121&gt;0),"Yes","No")</f>
        <v>No</v>
      </c>
      <c r="D122" s="49"/>
      <c r="E122" s="49"/>
      <c r="F122" s="48"/>
      <c r="G122" s="48"/>
      <c r="H122" s="48"/>
      <c r="I122" s="48"/>
      <c r="J122" s="48"/>
      <c r="K122" s="48"/>
    </row>
    <row r="123" spans="1:13" ht="19.5" customHeight="1" x14ac:dyDescent="0.25">
      <c r="A123" s="48"/>
      <c r="B123" s="48"/>
      <c r="C123" s="48"/>
      <c r="D123" s="48"/>
      <c r="E123" s="48"/>
      <c r="F123" s="48"/>
      <c r="G123" s="48"/>
      <c r="H123" s="48"/>
      <c r="I123" s="48"/>
      <c r="J123" s="48"/>
      <c r="K123" s="48"/>
      <c r="L123" s="57"/>
      <c r="M123" s="57"/>
    </row>
    <row r="124" spans="1:13" ht="18" hidden="1" customHeight="1" x14ac:dyDescent="0.25">
      <c r="A124" s="48"/>
      <c r="B124" s="48"/>
      <c r="C124" s="48"/>
      <c r="D124" s="48"/>
      <c r="E124" s="48"/>
      <c r="F124" s="48"/>
      <c r="G124" s="48"/>
      <c r="H124" s="48"/>
      <c r="I124" s="48"/>
      <c r="J124" s="48"/>
      <c r="K124" s="48"/>
      <c r="L124" s="57"/>
      <c r="M124" s="57"/>
    </row>
    <row r="125" spans="1:13" ht="15" hidden="1" customHeight="1" x14ac:dyDescent="0.25"/>
    <row r="126" spans="1:13" ht="15" hidden="1" customHeight="1" x14ac:dyDescent="0.25"/>
    <row r="127" spans="1:13" ht="15" hidden="1" customHeight="1" x14ac:dyDescent="0.25"/>
    <row r="128" spans="1:1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sheetData>
  <sheetProtection algorithmName="SHA-512" hashValue="Fyqj4/Vfe7KYVNZWuhYZ5jKIdMSYQOTh/jsmNDuvXx7HQ0KfQq8ufPjya02CJNPwi6z0QehAYh0ydF3+O8ahuw==" saltValue="hAJ2doDuz/G7Q7BTHGB3iw==" spinCount="100000" sheet="1" objects="1" scenarios="1"/>
  <mergeCells count="79">
    <mergeCell ref="A1:K1"/>
    <mergeCell ref="H2:I4"/>
    <mergeCell ref="B34:E34"/>
    <mergeCell ref="B35:E35"/>
    <mergeCell ref="B36:E36"/>
    <mergeCell ref="B32:F32"/>
    <mergeCell ref="A5:K7"/>
    <mergeCell ref="B11:E11"/>
    <mergeCell ref="B12:E12"/>
    <mergeCell ref="B33:E33"/>
    <mergeCell ref="A17:K17"/>
    <mergeCell ref="A9:K9"/>
    <mergeCell ref="B13:E13"/>
    <mergeCell ref="B14:E14"/>
    <mergeCell ref="B37:E37"/>
    <mergeCell ref="B38:E38"/>
    <mergeCell ref="B39:E39"/>
    <mergeCell ref="B15:E15"/>
    <mergeCell ref="A19:C19"/>
    <mergeCell ref="B30:E30"/>
    <mergeCell ref="B24:I26"/>
    <mergeCell ref="B23:I23"/>
    <mergeCell ref="B40:E40"/>
    <mergeCell ref="A45:C45"/>
    <mergeCell ref="A55:K55"/>
    <mergeCell ref="A57:C57"/>
    <mergeCell ref="A50:C50"/>
    <mergeCell ref="B43:D43"/>
    <mergeCell ref="B48:F48"/>
    <mergeCell ref="B47:F47"/>
    <mergeCell ref="H47:I47"/>
    <mergeCell ref="H48:I48"/>
    <mergeCell ref="B41:E41"/>
    <mergeCell ref="B78:D78"/>
    <mergeCell ref="A80:C80"/>
    <mergeCell ref="B71:E71"/>
    <mergeCell ref="B72:E72"/>
    <mergeCell ref="B73:E73"/>
    <mergeCell ref="B74:E74"/>
    <mergeCell ref="B75:E75"/>
    <mergeCell ref="B76:E76"/>
    <mergeCell ref="A86:C86"/>
    <mergeCell ref="A91:K91"/>
    <mergeCell ref="A93:C93"/>
    <mergeCell ref="B83:F83"/>
    <mergeCell ref="B82:F82"/>
    <mergeCell ref="H82:I82"/>
    <mergeCell ref="H83:I83"/>
    <mergeCell ref="B84:F84"/>
    <mergeCell ref="H84:I84"/>
    <mergeCell ref="A119:C119"/>
    <mergeCell ref="B109:E109"/>
    <mergeCell ref="B111:D111"/>
    <mergeCell ref="A113:C113"/>
    <mergeCell ref="B116:F116"/>
    <mergeCell ref="B115:F115"/>
    <mergeCell ref="B117:F117"/>
    <mergeCell ref="B69:F69"/>
    <mergeCell ref="B70:E70"/>
    <mergeCell ref="B67:E67"/>
    <mergeCell ref="B61:H61"/>
    <mergeCell ref="B62:H62"/>
    <mergeCell ref="B63:H63"/>
    <mergeCell ref="H117:I117"/>
    <mergeCell ref="B97:I97"/>
    <mergeCell ref="B98:I98"/>
    <mergeCell ref="B99:I99"/>
    <mergeCell ref="B103:E103"/>
    <mergeCell ref="B105:F105"/>
    <mergeCell ref="B106:E106"/>
    <mergeCell ref="B108:E108"/>
    <mergeCell ref="B107:E107"/>
    <mergeCell ref="H115:I115"/>
    <mergeCell ref="H116:I116"/>
    <mergeCell ref="G105:I105"/>
    <mergeCell ref="G106:I106"/>
    <mergeCell ref="G107:I107"/>
    <mergeCell ref="G108:I108"/>
    <mergeCell ref="G109:I109"/>
  </mergeCells>
  <conditionalFormatting sqref="G48:H48">
    <cfRule type="expression" dxfId="35" priority="15">
      <formula>$B48="No evidence required at this submission stage"</formula>
    </cfRule>
    <cfRule type="expression" dxfId="34" priority="16">
      <formula>$B48="/"</formula>
    </cfRule>
  </conditionalFormatting>
  <conditionalFormatting sqref="G83:H84">
    <cfRule type="expression" dxfId="33" priority="9">
      <formula>$B83="No evidence required at this submission stage"</formula>
    </cfRule>
    <cfRule type="expression" dxfId="32" priority="10">
      <formula>$B83="/"</formula>
    </cfRule>
  </conditionalFormatting>
  <conditionalFormatting sqref="G116:H116">
    <cfRule type="expression" dxfId="31" priority="7">
      <formula>$B116="No evidence required at this submission stage"</formula>
    </cfRule>
    <cfRule type="expression" dxfId="30" priority="8">
      <formula>$B116="/"</formula>
    </cfRule>
  </conditionalFormatting>
  <conditionalFormatting sqref="G117:H117">
    <cfRule type="expression" dxfId="29" priority="5">
      <formula>$B117="No evidence required at this submission stage"</formula>
    </cfRule>
    <cfRule type="expression" dxfId="28" priority="6">
      <formula>$B117="/"</formula>
    </cfRule>
  </conditionalFormatting>
  <conditionalFormatting sqref="G106">
    <cfRule type="expression" dxfId="27" priority="3">
      <formula>$B106="No evidence required at this submission stage"</formula>
    </cfRule>
    <cfRule type="expression" dxfId="26" priority="4">
      <formula>$B106="/"</formula>
    </cfRule>
  </conditionalFormatting>
  <conditionalFormatting sqref="G107:G109">
    <cfRule type="expression" dxfId="25" priority="1">
      <formula>$B107="No evidence required at this submission stage"</formula>
    </cfRule>
    <cfRule type="expression" dxfId="24" priority="2">
      <formula>$B107="/"</formula>
    </cfRule>
  </conditionalFormatting>
  <dataValidations count="2">
    <dataValidation type="list" allowBlank="1" showInputMessage="1" showErrorMessage="1" sqref="G48 G83:G84 G116:G117">
      <formula1>"Select,Submitted,Not submitted"</formula1>
    </dataValidation>
    <dataValidation type="list" allowBlank="1" showInputMessage="1" showErrorMessage="1" sqref="F33:F41 F30 F70:F76 F67 F103 F106:F109">
      <formula1>"Select,Yes,No"</formula1>
    </dataValidation>
  </dataValidations>
  <hyperlinks>
    <hyperlink ref="J2" location="'Man-1 LOTUS AP'!B3" tooltip="Man-1" display="Man-1"/>
    <hyperlink ref="J3" location="'Man-2 Construction Stage'!B3" tooltip="Man-2" display="Man-2"/>
    <hyperlink ref="J4" location="'Man-3 Commissioning'!B3" tooltip="Man-3" display="Man-3"/>
    <hyperlink ref="K3" location="'Man-4 Maintenance'!B3" tooltip="Man-4" display="Man-4"/>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Q54"/>
  <sheetViews>
    <sheetView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7109375" customWidth="1"/>
    <col min="3" max="3" width="3.7109375" customWidth="1"/>
    <col min="4" max="4" width="9.5703125" customWidth="1"/>
    <col min="5" max="5" width="24.28515625" customWidth="1"/>
    <col min="6" max="6" width="23.7109375" customWidth="1"/>
    <col min="7" max="8" width="18.7109375" customWidth="1"/>
    <col min="9" max="9" width="9.42578125" customWidth="1"/>
    <col min="10" max="10" width="8" customWidth="1"/>
    <col min="11" max="11" width="4.7109375" customWidth="1"/>
    <col min="12" max="12" width="4.28515625" customWidth="1"/>
    <col min="13" max="17" width="0" hidden="1" customWidth="1"/>
    <col min="18" max="16384" width="9.140625" hidden="1"/>
  </cols>
  <sheetData>
    <row r="1" spans="1:12" ht="30" customHeight="1" x14ac:dyDescent="0.25">
      <c r="A1" s="231"/>
      <c r="B1" s="2464" t="s">
        <v>74</v>
      </c>
      <c r="C1" s="232"/>
      <c r="D1" s="193"/>
      <c r="E1" s="194"/>
      <c r="F1" s="194"/>
      <c r="G1" s="194"/>
      <c r="H1" s="194"/>
      <c r="I1" s="194"/>
      <c r="J1" s="194"/>
      <c r="K1" s="194"/>
      <c r="L1" s="195"/>
    </row>
    <row r="2" spans="1:12" ht="28.5" customHeight="1" x14ac:dyDescent="0.25">
      <c r="A2" s="233"/>
      <c r="B2" s="2465"/>
      <c r="C2" s="234"/>
      <c r="D2" s="196"/>
      <c r="E2" s="197"/>
      <c r="F2" s="197"/>
      <c r="G2" s="197"/>
      <c r="H2" s="197"/>
      <c r="I2" s="197"/>
      <c r="J2" s="197"/>
      <c r="K2" s="197"/>
      <c r="L2" s="198"/>
    </row>
    <row r="3" spans="1:12" ht="25.5" customHeight="1" x14ac:dyDescent="0.25">
      <c r="A3" s="233"/>
      <c r="B3" s="2465"/>
      <c r="C3" s="234"/>
      <c r="D3" s="196"/>
      <c r="E3" s="197"/>
      <c r="F3" s="197"/>
      <c r="G3" s="197"/>
      <c r="H3" s="197"/>
      <c r="I3" s="197"/>
      <c r="J3" s="197"/>
      <c r="K3" s="197"/>
      <c r="L3" s="198"/>
    </row>
    <row r="4" spans="1:12" ht="15" customHeight="1" x14ac:dyDescent="0.25">
      <c r="A4" s="233"/>
      <c r="B4" s="2466" t="str">
        <f>IF(A1="","Rewards exceptional performance, well above the LOTUS requirements and recognises innovative features or initiatives which are not specifically adressed by LOTUS","Điểm thưởng cho những biểu hiện vượt trội hơn so với yêu cầu của LOTUS và ghi nhận những điểm đột phá mang lại lợi ích cho môi trường mà LOTUS không đề cập tới.")</f>
        <v>Rewards exceptional performance, well above the LOTUS requirements and recognises innovative features or initiatives which are not specifically adressed by LOTUS</v>
      </c>
      <c r="C4" s="235"/>
      <c r="D4" s="196"/>
      <c r="E4" s="2467" t="s">
        <v>136</v>
      </c>
      <c r="F4" s="2467"/>
      <c r="G4" s="2457" t="s">
        <v>137</v>
      </c>
      <c r="H4" s="2457" t="s">
        <v>19</v>
      </c>
      <c r="I4" s="197"/>
      <c r="J4" s="197"/>
      <c r="K4" s="197"/>
      <c r="L4" s="198"/>
    </row>
    <row r="5" spans="1:12" ht="15" customHeight="1" x14ac:dyDescent="0.25">
      <c r="A5" s="233"/>
      <c r="B5" s="2466"/>
      <c r="C5" s="235"/>
      <c r="D5" s="196"/>
      <c r="E5" s="2467"/>
      <c r="F5" s="2467"/>
      <c r="G5" s="2457"/>
      <c r="H5" s="2457"/>
      <c r="I5" s="197"/>
      <c r="J5" s="197"/>
      <c r="K5" s="197"/>
      <c r="L5" s="198"/>
    </row>
    <row r="6" spans="1:12" ht="23.25" customHeight="1" x14ac:dyDescent="0.25">
      <c r="A6" s="233"/>
      <c r="B6" s="2466"/>
      <c r="C6" s="235"/>
      <c r="D6" s="196"/>
      <c r="E6" s="2458" t="s">
        <v>120</v>
      </c>
      <c r="F6" s="2459"/>
      <c r="G6" s="2462">
        <v>6</v>
      </c>
      <c r="H6" s="104">
        <f>'Inn-1 Exceptional Performance '!G12</f>
        <v>0</v>
      </c>
      <c r="I6" s="197"/>
      <c r="J6" s="197"/>
      <c r="K6" s="197"/>
      <c r="L6" s="198"/>
    </row>
    <row r="7" spans="1:12" ht="23.25" customHeight="1" x14ac:dyDescent="0.25">
      <c r="A7" s="233"/>
      <c r="B7" s="2466"/>
      <c r="C7" s="235"/>
      <c r="D7" s="196"/>
      <c r="E7" s="2458" t="s">
        <v>121</v>
      </c>
      <c r="F7" s="2459"/>
      <c r="G7" s="2463"/>
      <c r="H7" s="104">
        <f>'Inn-2 Innovative Techniques'!G12</f>
        <v>0</v>
      </c>
      <c r="I7" s="197"/>
      <c r="J7" s="197"/>
      <c r="K7" s="197"/>
      <c r="L7" s="198"/>
    </row>
    <row r="8" spans="1:12" ht="24" customHeight="1" x14ac:dyDescent="0.25">
      <c r="A8" s="236"/>
      <c r="B8" s="2466"/>
      <c r="C8" s="235"/>
      <c r="D8" s="196"/>
      <c r="E8" s="99" t="s">
        <v>29</v>
      </c>
      <c r="F8" s="100"/>
      <c r="G8" s="101">
        <f>SUM(G6:G7)</f>
        <v>6</v>
      </c>
      <c r="H8" s="101">
        <f>MIN(6,SUM(H6:H7))</f>
        <v>0</v>
      </c>
      <c r="I8" s="197"/>
      <c r="J8" s="197"/>
      <c r="K8" s="197"/>
      <c r="L8" s="198"/>
    </row>
    <row r="9" spans="1:12" ht="15" customHeight="1" x14ac:dyDescent="0.25">
      <c r="A9" s="236"/>
      <c r="B9" s="2466"/>
      <c r="C9" s="235"/>
      <c r="D9" s="196"/>
      <c r="E9" s="197"/>
      <c r="F9" s="197"/>
      <c r="G9" s="197"/>
      <c r="H9" s="197"/>
      <c r="I9" s="197"/>
      <c r="J9" s="197"/>
      <c r="K9" s="197"/>
      <c r="L9" s="198"/>
    </row>
    <row r="10" spans="1:12" ht="15" customHeight="1" x14ac:dyDescent="0.25">
      <c r="A10" s="236"/>
      <c r="B10" s="237"/>
      <c r="C10" s="238"/>
      <c r="D10" s="196"/>
      <c r="E10" s="197"/>
      <c r="F10" s="197"/>
      <c r="G10" s="197"/>
      <c r="H10" s="197"/>
      <c r="I10" s="197"/>
      <c r="J10" s="197"/>
      <c r="K10" s="197"/>
      <c r="L10" s="198"/>
    </row>
    <row r="11" spans="1:12" ht="15" customHeight="1" x14ac:dyDescent="0.25">
      <c r="A11" s="236"/>
      <c r="B11" s="237"/>
      <c r="C11" s="238"/>
      <c r="D11" s="196"/>
      <c r="E11" s="197"/>
      <c r="F11" s="197"/>
      <c r="G11" s="197"/>
      <c r="H11" s="197"/>
      <c r="I11" s="197"/>
      <c r="J11" s="197"/>
      <c r="K11" s="197"/>
      <c r="L11" s="198"/>
    </row>
    <row r="12" spans="1:12" ht="15" customHeight="1" x14ac:dyDescent="0.25">
      <c r="A12" s="236"/>
      <c r="B12" s="237"/>
      <c r="C12" s="238"/>
      <c r="D12" s="196"/>
      <c r="E12" s="197"/>
      <c r="F12" s="197"/>
      <c r="G12" s="197"/>
      <c r="H12" s="197"/>
      <c r="I12" s="197"/>
      <c r="J12" s="197"/>
      <c r="K12" s="197"/>
      <c r="L12" s="198"/>
    </row>
    <row r="13" spans="1:12" ht="15" customHeight="1" x14ac:dyDescent="0.25">
      <c r="A13" s="2460"/>
      <c r="B13" s="2461"/>
      <c r="C13" s="239"/>
      <c r="D13" s="199"/>
      <c r="E13" s="200"/>
      <c r="F13" s="200"/>
      <c r="G13" s="200"/>
      <c r="H13" s="200"/>
      <c r="I13" s="200"/>
      <c r="J13" s="200"/>
      <c r="K13" s="200"/>
      <c r="L13" s="201"/>
    </row>
    <row r="14" spans="1:12" ht="15" hidden="1" customHeight="1" x14ac:dyDescent="0.25">
      <c r="A14" s="73"/>
      <c r="B14" s="82"/>
      <c r="C14" s="82"/>
      <c r="D14" s="1"/>
      <c r="E14" s="1"/>
      <c r="F14" s="1"/>
      <c r="G14" s="1"/>
      <c r="H14" s="1"/>
      <c r="I14" s="1"/>
      <c r="J14" s="1"/>
      <c r="K14" s="1"/>
      <c r="L14" s="1"/>
    </row>
    <row r="15" spans="1:12" ht="15" hidden="1" customHeight="1" x14ac:dyDescent="0.25">
      <c r="A15" s="73"/>
      <c r="B15" s="82"/>
      <c r="C15" s="82"/>
      <c r="D15" s="1"/>
      <c r="E15" s="1"/>
      <c r="F15" s="1"/>
      <c r="G15" s="1"/>
      <c r="H15" s="1"/>
      <c r="I15" s="1"/>
      <c r="J15" s="1"/>
      <c r="K15" s="1"/>
      <c r="L15" s="1"/>
    </row>
    <row r="16" spans="1:12" ht="15" hidden="1" customHeight="1" x14ac:dyDescent="0.25">
      <c r="A16" s="73"/>
      <c r="B16" s="82"/>
      <c r="C16" s="82"/>
      <c r="D16" s="1"/>
      <c r="E16" s="1"/>
      <c r="F16" s="1"/>
      <c r="G16" s="1"/>
      <c r="H16" s="1"/>
      <c r="I16" s="1"/>
      <c r="J16" s="1"/>
      <c r="K16" s="1"/>
      <c r="L16" s="1"/>
    </row>
    <row r="17" spans="1:12" ht="15" hidden="1" customHeight="1" x14ac:dyDescent="0.25">
      <c r="A17" s="73"/>
      <c r="B17" s="82"/>
      <c r="C17" s="82"/>
      <c r="D17" s="1"/>
      <c r="E17" s="1"/>
      <c r="F17" s="1"/>
      <c r="G17" s="1"/>
      <c r="H17" s="1"/>
      <c r="I17" s="1"/>
      <c r="J17" s="1"/>
      <c r="K17" s="1"/>
      <c r="L17" s="1"/>
    </row>
    <row r="18" spans="1:12" ht="15" hidden="1" customHeight="1" x14ac:dyDescent="0.25">
      <c r="A18" s="1"/>
      <c r="B18" s="2"/>
      <c r="C18" s="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JWEgBOZe9e9gtWG18vfXZmX6NyBTdJGVSZKBDdkC9mpLQeHy23pCLhyq5cNvknvkTI0kID5fVETcI7+KV85Llw==" saltValue="xhIDvOLRWetIDT5huonm3w==" spinCount="100000" sheet="1" objects="1" scenarios="1"/>
  <mergeCells count="9">
    <mergeCell ref="B1:B3"/>
    <mergeCell ref="B4:B9"/>
    <mergeCell ref="E4:F5"/>
    <mergeCell ref="G4:G5"/>
    <mergeCell ref="H4:H5"/>
    <mergeCell ref="E6:F6"/>
    <mergeCell ref="E7:F7"/>
    <mergeCell ref="A13:B13"/>
    <mergeCell ref="G6:G7"/>
  </mergeCells>
  <hyperlinks>
    <hyperlink ref="E6:F6" location="'Inn-1 Exceptional Performance '!B3" tooltip="Inn-1 Exceptional Performance Enhancement" display="Inn-1 Exceptional Performance Enhancement"/>
    <hyperlink ref="E7:F7" location="'Inn-2 Innovative Techniques'!B3" tooltip="Inn-2 Innovative Techniques/Initiatives" display="Inn-2 Innovative Techniques/Initiatives"/>
  </hyperlink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sheetPr>
  <dimension ref="A1:L82"/>
  <sheetViews>
    <sheetView showRowColHeaders="0" workbookViewId="0">
      <pane ySplit="8" topLeftCell="A9" activePane="bottomLeft" state="frozen"/>
      <selection activeCell="E21" sqref="E21"/>
      <selection pane="bottomLeft" activeCell="K2" sqref="K2:K4"/>
    </sheetView>
  </sheetViews>
  <sheetFormatPr defaultColWidth="0" defaultRowHeight="15" customHeight="1" zeroHeight="1" x14ac:dyDescent="0.25"/>
  <cols>
    <col min="1" max="1" width="5.7109375" style="37" customWidth="1"/>
    <col min="2" max="2" width="18.42578125" style="37" customWidth="1"/>
    <col min="3" max="3" width="17" style="37" customWidth="1"/>
    <col min="4" max="4" width="21.7109375" style="37" customWidth="1"/>
    <col min="5" max="5" width="21.85546875" style="37" customWidth="1"/>
    <col min="6" max="8" width="17.85546875" style="37" customWidth="1"/>
    <col min="9" max="9" width="16.7109375" style="37" customWidth="1"/>
    <col min="10" max="10" width="15.140625" style="37" customWidth="1"/>
    <col min="11" max="11" width="9.140625" style="37" customWidth="1"/>
    <col min="12" max="16384" width="9.140625" style="37" hidden="1"/>
  </cols>
  <sheetData>
    <row r="1" spans="1:11" ht="25.5" customHeight="1" x14ac:dyDescent="0.25">
      <c r="A1" s="2470" t="s">
        <v>120</v>
      </c>
      <c r="B1" s="2470"/>
      <c r="C1" s="2470"/>
      <c r="D1" s="2470"/>
      <c r="E1" s="2470"/>
      <c r="F1" s="2470"/>
      <c r="G1" s="2470"/>
      <c r="H1" s="2470"/>
      <c r="I1" s="2470"/>
      <c r="J1" s="2470"/>
      <c r="K1" s="2470"/>
    </row>
    <row r="2" spans="1:11" ht="15" customHeight="1" x14ac:dyDescent="0.25">
      <c r="A2" s="48"/>
      <c r="B2" s="49"/>
      <c r="C2" s="49"/>
      <c r="D2" s="49"/>
      <c r="E2" s="49"/>
      <c r="F2" s="48"/>
      <c r="G2" s="48"/>
      <c r="H2" s="48"/>
      <c r="I2" s="1694" t="s">
        <v>240</v>
      </c>
      <c r="J2" s="1694"/>
      <c r="K2" s="2475" t="s">
        <v>44</v>
      </c>
    </row>
    <row r="3" spans="1:11" ht="15" customHeight="1" x14ac:dyDescent="0.25">
      <c r="A3" s="48"/>
      <c r="B3" s="49"/>
      <c r="C3" s="49"/>
      <c r="D3" s="49"/>
      <c r="E3" s="49"/>
      <c r="F3" s="48"/>
      <c r="G3" s="48"/>
      <c r="H3" s="48"/>
      <c r="I3" s="1694"/>
      <c r="J3" s="1694"/>
      <c r="K3" s="2475"/>
    </row>
    <row r="4" spans="1:11" ht="15" customHeight="1" x14ac:dyDescent="0.25">
      <c r="A4" s="48"/>
      <c r="B4" s="49"/>
      <c r="C4" s="49"/>
      <c r="D4" s="49"/>
      <c r="E4" s="49"/>
      <c r="F4" s="48"/>
      <c r="G4" s="48"/>
      <c r="H4" s="48"/>
      <c r="I4" s="2472"/>
      <c r="J4" s="2472"/>
      <c r="K4" s="2476"/>
    </row>
    <row r="5" spans="1:11" ht="18" customHeight="1" x14ac:dyDescent="0.25">
      <c r="A5" s="1704" t="s">
        <v>2853</v>
      </c>
      <c r="B5" s="1705"/>
      <c r="C5" s="1705"/>
      <c r="D5" s="1705"/>
      <c r="E5" s="1705"/>
      <c r="F5" s="1705"/>
      <c r="G5" s="1705"/>
      <c r="H5" s="1705"/>
      <c r="I5" s="1705"/>
      <c r="J5" s="1705"/>
      <c r="K5" s="1706"/>
    </row>
    <row r="6" spans="1:11" ht="18" customHeight="1" x14ac:dyDescent="0.25">
      <c r="A6" s="1707"/>
      <c r="B6" s="1708"/>
      <c r="C6" s="1708"/>
      <c r="D6" s="1708"/>
      <c r="E6" s="1708"/>
      <c r="F6" s="1708"/>
      <c r="G6" s="1708"/>
      <c r="H6" s="1708"/>
      <c r="I6" s="1708"/>
      <c r="J6" s="1708"/>
      <c r="K6" s="1709"/>
    </row>
    <row r="7" spans="1:11" ht="17.25" customHeight="1" x14ac:dyDescent="0.25">
      <c r="A7" s="1710"/>
      <c r="B7" s="1711"/>
      <c r="C7" s="1711"/>
      <c r="D7" s="1711"/>
      <c r="E7" s="1711"/>
      <c r="F7" s="1711"/>
      <c r="G7" s="1711"/>
      <c r="H7" s="1711"/>
      <c r="I7" s="1711"/>
      <c r="J7" s="1711"/>
      <c r="K7" s="1712"/>
    </row>
    <row r="8" spans="1:11" ht="12" customHeight="1" x14ac:dyDescent="0.25">
      <c r="A8" s="48"/>
      <c r="B8" s="49"/>
      <c r="C8" s="49"/>
      <c r="D8" s="49"/>
      <c r="E8" s="49"/>
      <c r="F8" s="48"/>
      <c r="G8" s="48"/>
      <c r="H8" s="48"/>
      <c r="I8" s="48"/>
      <c r="J8" s="48"/>
      <c r="K8" s="48"/>
    </row>
    <row r="9" spans="1:11" ht="18" customHeight="1" x14ac:dyDescent="0.25">
      <c r="A9" s="2471" t="s">
        <v>95</v>
      </c>
      <c r="B9" s="2471"/>
      <c r="C9" s="2471"/>
      <c r="D9" s="2471"/>
      <c r="E9" s="2471"/>
      <c r="F9" s="2471"/>
      <c r="G9" s="2471"/>
      <c r="H9" s="2471"/>
      <c r="I9" s="2471"/>
      <c r="J9" s="2471"/>
      <c r="K9" s="2471"/>
    </row>
    <row r="10" spans="1:11" x14ac:dyDescent="0.25">
      <c r="A10" s="48"/>
      <c r="B10" s="49"/>
      <c r="C10" s="49"/>
      <c r="D10" s="49"/>
      <c r="E10" s="49"/>
      <c r="F10" s="48"/>
      <c r="G10" s="48"/>
      <c r="H10" s="48"/>
      <c r="I10" s="48"/>
      <c r="J10" s="48"/>
      <c r="K10" s="48"/>
    </row>
    <row r="11" spans="1:11" ht="21" customHeight="1" x14ac:dyDescent="0.25">
      <c r="A11" s="48"/>
      <c r="B11" s="2473" t="s">
        <v>96</v>
      </c>
      <c r="C11" s="2474"/>
      <c r="D11" s="2474"/>
      <c r="E11" s="2474"/>
      <c r="F11" s="650" t="s">
        <v>75</v>
      </c>
      <c r="G11" s="650" t="s">
        <v>19</v>
      </c>
      <c r="H11" s="248" t="s">
        <v>151</v>
      </c>
      <c r="I11" s="48"/>
      <c r="J11" s="48"/>
      <c r="K11" s="48"/>
    </row>
    <row r="12" spans="1:11" ht="19.5" customHeight="1" x14ac:dyDescent="0.25">
      <c r="A12" s="48"/>
      <c r="B12" s="2105" t="s">
        <v>43</v>
      </c>
      <c r="C12" s="2106"/>
      <c r="D12" s="2106"/>
      <c r="E12" s="2107"/>
      <c r="F12" s="182">
        <v>6</v>
      </c>
      <c r="G12" s="182">
        <f>MIN(C38,6)</f>
        <v>0</v>
      </c>
      <c r="H12" s="182" t="str">
        <f>C39</f>
        <v>No</v>
      </c>
      <c r="I12" s="48"/>
      <c r="J12" s="48"/>
      <c r="K12" s="48"/>
    </row>
    <row r="13" spans="1:11" x14ac:dyDescent="0.25">
      <c r="A13" s="48"/>
      <c r="B13" s="49"/>
      <c r="C13" s="49"/>
      <c r="D13" s="49"/>
      <c r="E13" s="49"/>
      <c r="F13" s="48"/>
      <c r="G13" s="48"/>
      <c r="H13" s="48"/>
      <c r="I13" s="48"/>
      <c r="J13" s="48"/>
      <c r="K13" s="48"/>
    </row>
    <row r="14" spans="1:11" ht="18" customHeight="1" x14ac:dyDescent="0.25">
      <c r="A14" s="2471" t="s">
        <v>117</v>
      </c>
      <c r="B14" s="2471"/>
      <c r="C14" s="2471"/>
      <c r="D14" s="2471"/>
      <c r="E14" s="2471"/>
      <c r="F14" s="2471"/>
      <c r="G14" s="2471"/>
      <c r="H14" s="2471"/>
      <c r="I14" s="2471"/>
      <c r="J14" s="2471"/>
      <c r="K14" s="2471"/>
    </row>
    <row r="15" spans="1:11" ht="12" customHeight="1" x14ac:dyDescent="0.25">
      <c r="A15" s="48"/>
      <c r="B15" s="49"/>
      <c r="C15" s="49"/>
      <c r="D15" s="49"/>
      <c r="E15" s="49"/>
      <c r="F15" s="48"/>
      <c r="G15" s="48"/>
      <c r="H15" s="48"/>
      <c r="I15" s="48"/>
      <c r="J15" s="48"/>
      <c r="K15" s="48"/>
    </row>
    <row r="16" spans="1:11" ht="14.25" customHeight="1" x14ac:dyDescent="0.25">
      <c r="A16" s="48"/>
      <c r="B16" s="969" t="s">
        <v>43</v>
      </c>
      <c r="C16" s="121"/>
      <c r="D16" s="121"/>
      <c r="E16" s="121"/>
      <c r="F16" s="121"/>
      <c r="G16" s="121"/>
      <c r="H16" s="121"/>
      <c r="I16" s="121"/>
      <c r="J16" s="121"/>
      <c r="K16" s="48"/>
    </row>
    <row r="17" spans="1:12" ht="14.25" customHeight="1" x14ac:dyDescent="0.25">
      <c r="A17" s="48"/>
      <c r="B17" s="969"/>
      <c r="C17" s="121"/>
      <c r="D17" s="121"/>
      <c r="E17" s="121"/>
      <c r="F17" s="121"/>
      <c r="G17" s="121"/>
      <c r="H17" s="121"/>
      <c r="I17" s="121"/>
      <c r="J17" s="121"/>
      <c r="K17" s="48"/>
    </row>
    <row r="18" spans="1:12" ht="14.25" customHeight="1" x14ac:dyDescent="0.25">
      <c r="A18" s="48"/>
      <c r="B18" s="250" t="s">
        <v>244</v>
      </c>
      <c r="C18" s="121"/>
      <c r="D18" s="121"/>
      <c r="E18" s="121"/>
      <c r="F18" s="121"/>
      <c r="G18" s="121"/>
      <c r="H18" s="121"/>
      <c r="I18" s="121"/>
      <c r="J18" s="121"/>
      <c r="K18" s="48"/>
    </row>
    <row r="19" spans="1:12" ht="14.25" customHeight="1" x14ac:dyDescent="0.25">
      <c r="A19" s="48"/>
      <c r="B19" s="250" t="s">
        <v>245</v>
      </c>
      <c r="C19" s="121"/>
      <c r="D19" s="121"/>
      <c r="E19" s="121"/>
      <c r="F19" s="121"/>
      <c r="G19" s="121"/>
      <c r="H19" s="121"/>
      <c r="I19" s="121"/>
      <c r="J19" s="121"/>
      <c r="K19" s="48"/>
    </row>
    <row r="20" spans="1:12" ht="14.25" customHeight="1" x14ac:dyDescent="0.25">
      <c r="A20" s="48"/>
      <c r="B20" s="250" t="s">
        <v>246</v>
      </c>
      <c r="C20" s="121"/>
      <c r="D20" s="121"/>
      <c r="E20" s="121"/>
      <c r="F20" s="121"/>
      <c r="G20" s="121"/>
      <c r="H20" s="121"/>
      <c r="I20" s="121"/>
      <c r="J20" s="121"/>
      <c r="K20" s="48"/>
    </row>
    <row r="21" spans="1:12" ht="14.25" customHeight="1" x14ac:dyDescent="0.25">
      <c r="A21" s="48"/>
      <c r="B21" s="250" t="s">
        <v>2796</v>
      </c>
      <c r="C21" s="121"/>
      <c r="D21" s="121"/>
      <c r="E21" s="121"/>
      <c r="F21" s="121"/>
      <c r="G21" s="121"/>
      <c r="H21" s="121"/>
      <c r="I21" s="121"/>
      <c r="J21" s="121"/>
      <c r="K21" s="48"/>
    </row>
    <row r="22" spans="1:12" ht="14.25" customHeight="1" x14ac:dyDescent="0.25">
      <c r="A22" s="48"/>
      <c r="B22" s="121"/>
      <c r="C22" s="121"/>
      <c r="D22" s="121"/>
      <c r="E22" s="121"/>
      <c r="F22" s="121"/>
      <c r="G22" s="121"/>
      <c r="H22" s="121"/>
      <c r="I22" s="121"/>
      <c r="J22" s="121"/>
      <c r="K22" s="48"/>
    </row>
    <row r="23" spans="1:12" ht="19.5" customHeight="1" x14ac:dyDescent="0.25">
      <c r="A23" s="48"/>
      <c r="B23" s="2469" t="s">
        <v>242</v>
      </c>
      <c r="C23" s="2469"/>
      <c r="D23" s="2469" t="s">
        <v>243</v>
      </c>
      <c r="E23" s="2469"/>
      <c r="F23" s="2469" t="s">
        <v>2279</v>
      </c>
      <c r="G23" s="2469"/>
      <c r="H23" s="2469"/>
      <c r="I23" s="2469"/>
      <c r="J23" s="48"/>
      <c r="K23" s="48"/>
    </row>
    <row r="24" spans="1:12" ht="42" customHeight="1" x14ac:dyDescent="0.25">
      <c r="A24" s="48"/>
      <c r="B24" s="2468"/>
      <c r="C24" s="2468"/>
      <c r="D24" s="2468" t="s">
        <v>62</v>
      </c>
      <c r="E24" s="2468"/>
      <c r="F24" s="2468"/>
      <c r="G24" s="2468"/>
      <c r="H24" s="2468"/>
      <c r="I24" s="2468"/>
      <c r="J24" s="48"/>
      <c r="K24" s="48"/>
      <c r="L24" s="37">
        <f>IF(AND(B24&lt;&gt;"",D24&lt;&gt;"",D24&lt;&gt;"Select",F24&lt;&gt;""),1,0)</f>
        <v>0</v>
      </c>
    </row>
    <row r="25" spans="1:12" ht="42" customHeight="1" x14ac:dyDescent="0.25">
      <c r="A25" s="48"/>
      <c r="B25" s="2468"/>
      <c r="C25" s="2468"/>
      <c r="D25" s="2468" t="s">
        <v>62</v>
      </c>
      <c r="E25" s="2468"/>
      <c r="F25" s="2468"/>
      <c r="G25" s="2468"/>
      <c r="H25" s="2468"/>
      <c r="I25" s="2468"/>
      <c r="J25" s="48"/>
      <c r="K25" s="48"/>
      <c r="L25" s="37">
        <f t="shared" ref="L25:L29" si="0">IF(AND(B25&lt;&gt;"",D25&lt;&gt;"",D25&lt;&gt;"Select",F25&lt;&gt;""),1,0)</f>
        <v>0</v>
      </c>
    </row>
    <row r="26" spans="1:12" ht="42" customHeight="1" x14ac:dyDescent="0.25">
      <c r="A26" s="48"/>
      <c r="B26" s="2468"/>
      <c r="C26" s="2468"/>
      <c r="D26" s="2468" t="s">
        <v>62</v>
      </c>
      <c r="E26" s="2468"/>
      <c r="F26" s="2468"/>
      <c r="G26" s="2468"/>
      <c r="H26" s="2468"/>
      <c r="I26" s="2468"/>
      <c r="J26" s="48"/>
      <c r="K26" s="48"/>
      <c r="L26" s="37">
        <f t="shared" si="0"/>
        <v>0</v>
      </c>
    </row>
    <row r="27" spans="1:12" ht="42" customHeight="1" x14ac:dyDescent="0.25">
      <c r="A27" s="48"/>
      <c r="B27" s="2468"/>
      <c r="C27" s="2468"/>
      <c r="D27" s="2468" t="s">
        <v>62</v>
      </c>
      <c r="E27" s="2468"/>
      <c r="F27" s="2468"/>
      <c r="G27" s="2468"/>
      <c r="H27" s="2468"/>
      <c r="I27" s="2468"/>
      <c r="J27" s="48"/>
      <c r="K27" s="48"/>
      <c r="L27" s="37">
        <f t="shared" si="0"/>
        <v>0</v>
      </c>
    </row>
    <row r="28" spans="1:12" ht="42" customHeight="1" x14ac:dyDescent="0.25">
      <c r="A28" s="48"/>
      <c r="B28" s="2468"/>
      <c r="C28" s="2468"/>
      <c r="D28" s="2468" t="s">
        <v>62</v>
      </c>
      <c r="E28" s="2468"/>
      <c r="F28" s="2468"/>
      <c r="G28" s="2468"/>
      <c r="H28" s="2468"/>
      <c r="I28" s="2468"/>
      <c r="J28" s="48"/>
      <c r="K28" s="48"/>
      <c r="L28" s="37">
        <f t="shared" si="0"/>
        <v>0</v>
      </c>
    </row>
    <row r="29" spans="1:12" ht="42" customHeight="1" x14ac:dyDescent="0.25">
      <c r="A29" s="48"/>
      <c r="B29" s="2468"/>
      <c r="C29" s="2468"/>
      <c r="D29" s="2468" t="s">
        <v>62</v>
      </c>
      <c r="E29" s="2468"/>
      <c r="F29" s="2468"/>
      <c r="G29" s="2468"/>
      <c r="H29" s="2468"/>
      <c r="I29" s="2468"/>
      <c r="J29" s="48"/>
      <c r="K29" s="48"/>
      <c r="L29" s="37">
        <f t="shared" si="0"/>
        <v>0</v>
      </c>
    </row>
    <row r="30" spans="1:12" ht="15.75" customHeight="1" x14ac:dyDescent="0.25">
      <c r="A30" s="48"/>
      <c r="B30" s="49"/>
      <c r="C30" s="49"/>
      <c r="D30" s="49"/>
      <c r="E30" s="49"/>
      <c r="F30" s="48"/>
      <c r="G30" s="48"/>
      <c r="H30" s="48"/>
      <c r="I30" s="48"/>
      <c r="J30" s="48"/>
      <c r="K30" s="48"/>
    </row>
    <row r="31" spans="1:12" ht="16.5" customHeight="1" x14ac:dyDescent="0.25">
      <c r="A31" s="48"/>
      <c r="B31" s="49"/>
      <c r="C31" s="49"/>
      <c r="D31" s="49"/>
      <c r="E31" s="48"/>
      <c r="F31" s="48"/>
      <c r="G31" s="48"/>
      <c r="H31" s="48"/>
      <c r="I31" s="48"/>
      <c r="J31" s="48"/>
      <c r="K31" s="48"/>
    </row>
    <row r="32" spans="1:12" ht="18" customHeight="1" x14ac:dyDescent="0.25">
      <c r="A32" s="2471" t="s">
        <v>97</v>
      </c>
      <c r="B32" s="2471"/>
      <c r="C32" s="2471"/>
      <c r="D32" s="2471"/>
      <c r="E32" s="2471"/>
      <c r="F32" s="2471"/>
      <c r="G32" s="2471"/>
      <c r="H32" s="2471"/>
      <c r="I32" s="2471"/>
      <c r="J32" s="2471"/>
      <c r="K32" s="2471"/>
    </row>
    <row r="33" spans="1:11" ht="12.75" customHeight="1" x14ac:dyDescent="0.25">
      <c r="A33" s="48"/>
      <c r="B33" s="49"/>
      <c r="C33" s="49"/>
      <c r="D33" s="49"/>
      <c r="E33" s="48"/>
      <c r="F33" s="48"/>
      <c r="G33" s="48"/>
      <c r="H33" s="48"/>
      <c r="I33" s="48"/>
      <c r="J33" s="48"/>
      <c r="K33" s="48"/>
    </row>
    <row r="34" spans="1:11" ht="15" customHeight="1" x14ac:dyDescent="0.25">
      <c r="A34" s="48"/>
      <c r="B34" s="2069" t="s">
        <v>247</v>
      </c>
      <c r="C34" s="2069"/>
      <c r="D34" s="2069"/>
      <c r="E34" s="2069"/>
      <c r="F34" s="2069"/>
      <c r="G34" s="2069"/>
      <c r="H34" s="48"/>
      <c r="I34" s="48"/>
      <c r="J34" s="48"/>
      <c r="K34" s="48"/>
    </row>
    <row r="35" spans="1:11" x14ac:dyDescent="0.25">
      <c r="A35" s="48"/>
      <c r="B35" s="49"/>
      <c r="C35" s="49"/>
      <c r="D35" s="49"/>
      <c r="E35" s="48"/>
      <c r="F35" s="48"/>
      <c r="G35" s="48"/>
      <c r="H35" s="48"/>
      <c r="I35" s="48"/>
      <c r="J35" s="48"/>
      <c r="K35" s="48"/>
    </row>
    <row r="36" spans="1:11" ht="18" customHeight="1" x14ac:dyDescent="0.25">
      <c r="A36" s="2471" t="s">
        <v>8</v>
      </c>
      <c r="B36" s="2471"/>
      <c r="C36" s="2471"/>
      <c r="D36" s="2471"/>
      <c r="E36" s="2471"/>
      <c r="F36" s="2471"/>
      <c r="G36" s="2471"/>
      <c r="H36" s="2471"/>
      <c r="I36" s="2471"/>
      <c r="J36" s="2471"/>
      <c r="K36" s="2471"/>
    </row>
    <row r="37" spans="1:11" x14ac:dyDescent="0.25">
      <c r="A37" s="48"/>
      <c r="B37" s="49"/>
      <c r="C37" s="49"/>
      <c r="D37" s="49"/>
      <c r="E37" s="49"/>
      <c r="F37" s="48"/>
      <c r="G37" s="48"/>
      <c r="H37" s="48"/>
      <c r="I37" s="48"/>
      <c r="J37" s="48"/>
      <c r="K37" s="48"/>
    </row>
    <row r="38" spans="1:11" ht="18" customHeight="1" x14ac:dyDescent="0.25">
      <c r="A38" s="48"/>
      <c r="B38" s="249" t="s">
        <v>19</v>
      </c>
      <c r="C38" s="8">
        <f>SUM(L24:L29)</f>
        <v>0</v>
      </c>
      <c r="D38" s="49"/>
      <c r="E38" s="48"/>
      <c r="F38" s="48"/>
      <c r="G38" s="48"/>
      <c r="H38" s="48"/>
      <c r="I38" s="48"/>
      <c r="J38" s="48"/>
      <c r="K38" s="48"/>
    </row>
    <row r="39" spans="1:11" ht="18" customHeight="1" x14ac:dyDescent="0.25">
      <c r="A39" s="48"/>
      <c r="B39" s="249" t="s">
        <v>151</v>
      </c>
      <c r="C39" s="116" t="str">
        <f>IF(C38&gt;0,"Yes","No")</f>
        <v>No</v>
      </c>
      <c r="D39" s="49"/>
      <c r="E39" s="49"/>
      <c r="F39" s="48"/>
      <c r="G39" s="48"/>
      <c r="H39" s="48"/>
      <c r="I39" s="48"/>
      <c r="J39" s="48"/>
      <c r="K39" s="48"/>
    </row>
    <row r="40" spans="1:11" x14ac:dyDescent="0.25">
      <c r="A40" s="48"/>
      <c r="B40" s="49"/>
      <c r="C40" s="49"/>
      <c r="D40" s="49"/>
      <c r="E40" s="49"/>
      <c r="F40" s="48"/>
      <c r="G40" s="48"/>
      <c r="H40" s="48"/>
      <c r="I40" s="48"/>
      <c r="J40" s="48"/>
      <c r="K40" s="48"/>
    </row>
    <row r="41" spans="1:11" hidden="1" x14ac:dyDescent="0.25">
      <c r="J41" s="48"/>
      <c r="K41" s="48"/>
    </row>
    <row r="42" spans="1:11" hidden="1" x14ac:dyDescent="0.25">
      <c r="J42" s="48"/>
      <c r="K42" s="48"/>
    </row>
    <row r="43" spans="1:11" hidden="1" x14ac:dyDescent="0.25">
      <c r="J43" s="48"/>
      <c r="K43" s="48"/>
    </row>
    <row r="44" spans="1:11" ht="15" hidden="1" customHeight="1" x14ac:dyDescent="0.25"/>
    <row r="45" spans="1:11" ht="15" hidden="1" customHeight="1" x14ac:dyDescent="0.25"/>
    <row r="46" spans="1:11" ht="15" hidden="1" customHeight="1" x14ac:dyDescent="0.25"/>
    <row r="47" spans="1:11" ht="15" hidden="1" customHeight="1" x14ac:dyDescent="0.25"/>
    <row r="48" spans="1:1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sheetData>
  <sheetProtection algorithmName="SHA-512" hashValue="quymm7nFQNghOpkXDF9xfyl46vT1f/3rZQ9UJ3dGjr3zNsaOunxFXXHRHd1PiL2lnE2sTKUmR0H7IJ3mXJlc+A==" saltValue="V5nAZ4BfNxJ2Be3eycyg8w==" spinCount="100000" sheet="1" objects="1" scenarios="1"/>
  <mergeCells count="32">
    <mergeCell ref="B26:C26"/>
    <mergeCell ref="D26:E26"/>
    <mergeCell ref="B27:C27"/>
    <mergeCell ref="D27:E27"/>
    <mergeCell ref="I2:J4"/>
    <mergeCell ref="A5:K7"/>
    <mergeCell ref="B11:E11"/>
    <mergeCell ref="B12:E12"/>
    <mergeCell ref="K2:K4"/>
    <mergeCell ref="A1:K1"/>
    <mergeCell ref="A9:K9"/>
    <mergeCell ref="A14:K14"/>
    <mergeCell ref="A32:K32"/>
    <mergeCell ref="A36:K36"/>
    <mergeCell ref="B34:G34"/>
    <mergeCell ref="B28:C28"/>
    <mergeCell ref="D28:E28"/>
    <mergeCell ref="B29:C29"/>
    <mergeCell ref="D29:E29"/>
    <mergeCell ref="B23:C23"/>
    <mergeCell ref="D23:E23"/>
    <mergeCell ref="B24:C24"/>
    <mergeCell ref="D24:E24"/>
    <mergeCell ref="B25:C25"/>
    <mergeCell ref="D25:E25"/>
    <mergeCell ref="F28:I28"/>
    <mergeCell ref="F29:I29"/>
    <mergeCell ref="F23:I23"/>
    <mergeCell ref="F24:I24"/>
    <mergeCell ref="F25:I25"/>
    <mergeCell ref="F26:I26"/>
    <mergeCell ref="F27:I27"/>
  </mergeCells>
  <dataValidations count="1">
    <dataValidation type="list" allowBlank="1" showInputMessage="1" showErrorMessage="1" sqref="D24:E29">
      <formula1>"Select,Exceeds requirements by an additional increment,Significantly exceeds the credit requirement,reaches a higher number of points than what is available in the credit"</formula1>
    </dataValidation>
  </dataValidations>
  <hyperlinks>
    <hyperlink ref="K2" location="'Inn-2 Innovative Techniques'!A1" tooltip="Inn-2" display="Inn-2"/>
    <hyperlink ref="K2:K4" location="'Inn-2 Innovative Techniques'!B3" tooltip="Inn-2" display="Inn-2"/>
  </hyperlinks>
  <pageMargins left="0.7" right="0.7" top="0.75" bottom="0.75" header="0.3" footer="0.3"/>
  <pageSetup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000"/>
  </sheetPr>
  <dimension ref="A1:N185"/>
  <sheetViews>
    <sheetView showRowColHeaders="0" workbookViewId="0">
      <pane ySplit="8" topLeftCell="A9" activePane="bottomLeft" state="frozen"/>
      <selection activeCell="A5" sqref="A5:K7"/>
      <selection pane="bottomLeft" activeCell="A5" sqref="A5:K7"/>
    </sheetView>
  </sheetViews>
  <sheetFormatPr defaultColWidth="0" defaultRowHeight="15" customHeight="1" zeroHeight="1" x14ac:dyDescent="0.25"/>
  <cols>
    <col min="1" max="1" width="5.7109375" style="37" customWidth="1"/>
    <col min="2" max="2" width="18.42578125" style="37" customWidth="1"/>
    <col min="3" max="3" width="17" style="37" customWidth="1"/>
    <col min="4" max="5" width="18.42578125" style="37" customWidth="1"/>
    <col min="6" max="8" width="17.85546875" style="37" customWidth="1"/>
    <col min="9" max="9" width="16.7109375" style="37" customWidth="1"/>
    <col min="10" max="10" width="15.140625" style="37" customWidth="1"/>
    <col min="11" max="11" width="9.140625" style="37" customWidth="1"/>
    <col min="12" max="16384" width="9.140625" style="37" hidden="1"/>
  </cols>
  <sheetData>
    <row r="1" spans="1:14" ht="25.5" customHeight="1" x14ac:dyDescent="0.25">
      <c r="A1" s="2470" t="s">
        <v>121</v>
      </c>
      <c r="B1" s="2470"/>
      <c r="C1" s="2470"/>
      <c r="D1" s="2470"/>
      <c r="E1" s="2470"/>
      <c r="F1" s="2470"/>
      <c r="G1" s="2470"/>
      <c r="H1" s="2470"/>
      <c r="I1" s="2470"/>
      <c r="J1" s="2470"/>
      <c r="K1" s="2470"/>
    </row>
    <row r="2" spans="1:14" ht="15" customHeight="1" x14ac:dyDescent="0.25">
      <c r="A2" s="48"/>
      <c r="B2" s="49"/>
      <c r="C2" s="49"/>
      <c r="D2" s="49"/>
      <c r="E2" s="49"/>
      <c r="F2" s="48"/>
      <c r="G2" s="48"/>
      <c r="H2" s="48"/>
      <c r="I2" s="1694" t="s">
        <v>240</v>
      </c>
      <c r="J2" s="1694"/>
      <c r="K2" s="2475" t="s">
        <v>41</v>
      </c>
    </row>
    <row r="3" spans="1:14" ht="15" customHeight="1" x14ac:dyDescent="0.25">
      <c r="A3" s="48"/>
      <c r="B3" s="49"/>
      <c r="C3" s="49"/>
      <c r="D3" s="49"/>
      <c r="E3" s="49"/>
      <c r="F3" s="48"/>
      <c r="G3" s="48"/>
      <c r="H3" s="48"/>
      <c r="I3" s="1694"/>
      <c r="J3" s="1694"/>
      <c r="K3" s="2475"/>
    </row>
    <row r="4" spans="1:14" ht="15" customHeight="1" x14ac:dyDescent="0.25">
      <c r="A4" s="48"/>
      <c r="B4" s="49"/>
      <c r="C4" s="49"/>
      <c r="D4" s="49"/>
      <c r="E4" s="49"/>
      <c r="F4" s="48"/>
      <c r="G4" s="48"/>
      <c r="H4" s="48"/>
      <c r="I4" s="2472"/>
      <c r="J4" s="2472"/>
      <c r="K4" s="2476"/>
    </row>
    <row r="5" spans="1:14" ht="18" customHeight="1" x14ac:dyDescent="0.25">
      <c r="A5" s="1704" t="s">
        <v>2720</v>
      </c>
      <c r="B5" s="1705"/>
      <c r="C5" s="1705"/>
      <c r="D5" s="1705"/>
      <c r="E5" s="1705"/>
      <c r="F5" s="1705"/>
      <c r="G5" s="1705"/>
      <c r="H5" s="1705"/>
      <c r="I5" s="1705"/>
      <c r="J5" s="1705"/>
      <c r="K5" s="1706"/>
    </row>
    <row r="6" spans="1:14" ht="18" customHeight="1" x14ac:dyDescent="0.25">
      <c r="A6" s="1707"/>
      <c r="B6" s="1708"/>
      <c r="C6" s="1708"/>
      <c r="D6" s="1708"/>
      <c r="E6" s="1708"/>
      <c r="F6" s="1708"/>
      <c r="G6" s="1708"/>
      <c r="H6" s="1708"/>
      <c r="I6" s="1708"/>
      <c r="J6" s="1708"/>
      <c r="K6" s="1709"/>
    </row>
    <row r="7" spans="1:14" ht="17.25" customHeight="1" x14ac:dyDescent="0.25">
      <c r="A7" s="1710"/>
      <c r="B7" s="1711"/>
      <c r="C7" s="1711"/>
      <c r="D7" s="1711"/>
      <c r="E7" s="1711"/>
      <c r="F7" s="1711"/>
      <c r="G7" s="1711"/>
      <c r="H7" s="1711"/>
      <c r="I7" s="1711"/>
      <c r="J7" s="1711"/>
      <c r="K7" s="1712"/>
    </row>
    <row r="8" spans="1:14" ht="12" customHeight="1" x14ac:dyDescent="0.25">
      <c r="A8" s="48"/>
      <c r="B8" s="49"/>
      <c r="C8" s="49"/>
      <c r="D8" s="49"/>
      <c r="E8" s="49"/>
      <c r="F8" s="48"/>
      <c r="G8" s="48"/>
      <c r="H8" s="48"/>
      <c r="I8" s="48"/>
      <c r="J8" s="48"/>
      <c r="K8" s="48"/>
      <c r="L8" s="48"/>
      <c r="M8" s="48"/>
      <c r="N8" s="48"/>
    </row>
    <row r="9" spans="1:14" ht="18" customHeight="1" x14ac:dyDescent="0.25">
      <c r="A9" s="2471" t="s">
        <v>95</v>
      </c>
      <c r="B9" s="2471"/>
      <c r="C9" s="2471"/>
      <c r="D9" s="2471"/>
      <c r="E9" s="2471"/>
      <c r="F9" s="2471"/>
      <c r="G9" s="2471"/>
      <c r="H9" s="2471"/>
      <c r="I9" s="2471"/>
      <c r="J9" s="2471"/>
      <c r="K9" s="2471"/>
    </row>
    <row r="10" spans="1:14" x14ac:dyDescent="0.25">
      <c r="A10" s="48"/>
      <c r="B10" s="49"/>
      <c r="C10" s="49"/>
      <c r="D10" s="49"/>
      <c r="E10" s="49"/>
      <c r="F10" s="48"/>
      <c r="G10" s="48"/>
      <c r="H10" s="48"/>
      <c r="I10" s="48"/>
      <c r="J10" s="48"/>
      <c r="K10" s="48"/>
    </row>
    <row r="11" spans="1:14" ht="21" customHeight="1" x14ac:dyDescent="0.25">
      <c r="A11" s="48"/>
      <c r="B11" s="2473" t="s">
        <v>96</v>
      </c>
      <c r="C11" s="2474"/>
      <c r="D11" s="2474"/>
      <c r="E11" s="2474"/>
      <c r="F11" s="650" t="s">
        <v>75</v>
      </c>
      <c r="G11" s="650" t="s">
        <v>19</v>
      </c>
      <c r="H11" s="248" t="s">
        <v>151</v>
      </c>
      <c r="I11" s="48"/>
      <c r="J11" s="48"/>
      <c r="K11" s="48"/>
    </row>
    <row r="12" spans="1:14" ht="27" customHeight="1" x14ac:dyDescent="0.25">
      <c r="A12" s="48"/>
      <c r="B12" s="2105" t="s">
        <v>2508</v>
      </c>
      <c r="C12" s="2106"/>
      <c r="D12" s="2106"/>
      <c r="E12" s="2107"/>
      <c r="F12" s="182">
        <v>6</v>
      </c>
      <c r="G12" s="182">
        <f>C78</f>
        <v>0</v>
      </c>
      <c r="H12" s="182" t="str">
        <f>C79</f>
        <v>No</v>
      </c>
      <c r="I12" s="48"/>
      <c r="J12" s="48"/>
      <c r="K12" s="48"/>
    </row>
    <row r="13" spans="1:14" x14ac:dyDescent="0.25">
      <c r="A13" s="48"/>
      <c r="B13" s="49"/>
      <c r="C13" s="49"/>
      <c r="D13" s="49"/>
      <c r="E13" s="49"/>
      <c r="F13" s="48"/>
      <c r="G13" s="48"/>
      <c r="H13" s="48"/>
      <c r="I13" s="48"/>
      <c r="J13" s="48"/>
      <c r="K13" s="48"/>
    </row>
    <row r="14" spans="1:14" ht="18" customHeight="1" x14ac:dyDescent="0.25">
      <c r="A14" s="2471" t="s">
        <v>117</v>
      </c>
      <c r="B14" s="2471"/>
      <c r="C14" s="2471"/>
      <c r="D14" s="2471"/>
      <c r="E14" s="2471"/>
      <c r="F14" s="2471"/>
      <c r="G14" s="2471"/>
      <c r="H14" s="2471"/>
      <c r="I14" s="2471"/>
      <c r="J14" s="2471"/>
      <c r="K14" s="2471"/>
    </row>
    <row r="15" spans="1:14" ht="12" customHeight="1" x14ac:dyDescent="0.25">
      <c r="A15" s="48"/>
      <c r="B15" s="49"/>
      <c r="C15" s="49"/>
      <c r="D15" s="49"/>
      <c r="E15" s="49"/>
      <c r="F15" s="48"/>
      <c r="G15" s="48"/>
      <c r="H15" s="48"/>
      <c r="I15" s="48"/>
      <c r="J15" s="48"/>
      <c r="K15" s="48"/>
    </row>
    <row r="16" spans="1:14" x14ac:dyDescent="0.25">
      <c r="A16" s="48"/>
      <c r="B16" s="969" t="s">
        <v>241</v>
      </c>
      <c r="C16" s="49"/>
      <c r="D16" s="49"/>
      <c r="E16" s="49"/>
      <c r="F16" s="48"/>
      <c r="G16" s="48"/>
      <c r="H16" s="48"/>
      <c r="I16" s="48"/>
      <c r="J16" s="48"/>
      <c r="K16" s="48"/>
    </row>
    <row r="17" spans="1:12" x14ac:dyDescent="0.25">
      <c r="A17" s="48"/>
      <c r="B17" s="680" t="s">
        <v>2509</v>
      </c>
      <c r="C17" s="49"/>
      <c r="D17" s="49"/>
      <c r="E17" s="49"/>
      <c r="F17" s="48"/>
      <c r="G17" s="48"/>
      <c r="H17" s="48"/>
      <c r="I17" s="48"/>
      <c r="J17" s="48"/>
      <c r="K17" s="48"/>
    </row>
    <row r="18" spans="1:12" x14ac:dyDescent="0.25">
      <c r="A18" s="48"/>
      <c r="B18" s="775" t="s">
        <v>2510</v>
      </c>
      <c r="C18" s="48"/>
      <c r="D18" s="48"/>
      <c r="E18" s="48"/>
      <c r="F18" s="48"/>
      <c r="G18" s="48"/>
      <c r="H18" s="48"/>
      <c r="I18" s="48"/>
      <c r="J18" s="48"/>
      <c r="K18" s="48"/>
    </row>
    <row r="19" spans="1:12" ht="14.25" customHeight="1" x14ac:dyDescent="0.25">
      <c r="A19" s="48"/>
      <c r="B19" s="121"/>
      <c r="C19" s="121"/>
      <c r="D19" s="121"/>
      <c r="E19" s="121"/>
      <c r="F19" s="121"/>
      <c r="G19" s="121"/>
      <c r="H19" s="121"/>
      <c r="I19" s="121"/>
      <c r="J19" s="121"/>
      <c r="K19" s="48"/>
    </row>
    <row r="20" spans="1:12" ht="14.25" customHeight="1" x14ac:dyDescent="0.25">
      <c r="A20" s="48"/>
      <c r="B20" s="121" t="s">
        <v>2512</v>
      </c>
      <c r="C20" s="121"/>
      <c r="D20" s="121"/>
      <c r="E20" s="121"/>
      <c r="F20" s="121"/>
      <c r="G20" s="121"/>
      <c r="H20" s="121"/>
      <c r="I20" s="121"/>
      <c r="J20" s="121"/>
      <c r="K20" s="48"/>
    </row>
    <row r="21" spans="1:12" ht="19.5" customHeight="1" x14ac:dyDescent="0.25">
      <c r="A21" s="48"/>
      <c r="B21" s="2482" t="s">
        <v>2511</v>
      </c>
      <c r="C21" s="2482"/>
      <c r="D21" s="2481"/>
      <c r="E21" s="2481"/>
      <c r="F21" s="2481"/>
      <c r="G21" s="2481"/>
      <c r="H21" s="2481"/>
      <c r="I21" s="48"/>
      <c r="J21" s="48"/>
      <c r="K21" s="48"/>
    </row>
    <row r="22" spans="1:12" ht="39" customHeight="1" x14ac:dyDescent="0.25">
      <c r="A22" s="48"/>
      <c r="B22" s="2482" t="s">
        <v>2277</v>
      </c>
      <c r="C22" s="2482"/>
      <c r="D22" s="2481"/>
      <c r="E22" s="2481"/>
      <c r="F22" s="2481"/>
      <c r="G22" s="2481"/>
      <c r="H22" s="2481"/>
      <c r="I22" s="48"/>
      <c r="J22" s="48"/>
      <c r="K22" s="48"/>
    </row>
    <row r="23" spans="1:12" ht="39" customHeight="1" x14ac:dyDescent="0.25">
      <c r="A23" s="48"/>
      <c r="B23" s="2482" t="s">
        <v>2278</v>
      </c>
      <c r="C23" s="2482"/>
      <c r="D23" s="2481"/>
      <c r="E23" s="2481"/>
      <c r="F23" s="2481"/>
      <c r="G23" s="2481"/>
      <c r="H23" s="2481"/>
      <c r="I23" s="48"/>
      <c r="J23" s="48"/>
      <c r="K23" s="48"/>
      <c r="L23" s="37">
        <f>IF(AND(D21&lt;&gt;"",D22&lt;&gt;"",D23&lt;&gt;""),1,0)</f>
        <v>0</v>
      </c>
    </row>
    <row r="24" spans="1:12" ht="16.5" customHeight="1" x14ac:dyDescent="0.25">
      <c r="A24" s="48"/>
      <c r="B24" s="48"/>
      <c r="C24" s="48"/>
      <c r="D24" s="48"/>
      <c r="E24" s="48"/>
      <c r="F24" s="48"/>
      <c r="G24" s="48"/>
      <c r="H24" s="48"/>
      <c r="I24" s="48"/>
      <c r="J24" s="48"/>
      <c r="K24" s="48"/>
    </row>
    <row r="25" spans="1:12" ht="14.25" customHeight="1" x14ac:dyDescent="0.25">
      <c r="A25" s="48"/>
      <c r="B25" s="121" t="s">
        <v>2513</v>
      </c>
      <c r="C25" s="121"/>
      <c r="D25" s="121"/>
      <c r="E25" s="121"/>
      <c r="F25" s="121"/>
      <c r="G25" s="121"/>
      <c r="H25" s="121"/>
      <c r="I25" s="121"/>
      <c r="J25" s="121"/>
      <c r="K25" s="48"/>
    </row>
    <row r="26" spans="1:12" ht="19.5" customHeight="1" x14ac:dyDescent="0.25">
      <c r="A26" s="48"/>
      <c r="B26" s="2482" t="s">
        <v>2511</v>
      </c>
      <c r="C26" s="2482"/>
      <c r="D26" s="2481"/>
      <c r="E26" s="2481"/>
      <c r="F26" s="2481"/>
      <c r="G26" s="2481"/>
      <c r="H26" s="2481"/>
      <c r="I26" s="48"/>
      <c r="J26" s="48"/>
      <c r="K26" s="48"/>
    </row>
    <row r="27" spans="1:12" ht="39" customHeight="1" x14ac:dyDescent="0.25">
      <c r="A27" s="48"/>
      <c r="B27" s="2482" t="s">
        <v>2277</v>
      </c>
      <c r="C27" s="2482"/>
      <c r="D27" s="2481"/>
      <c r="E27" s="2481"/>
      <c r="F27" s="2481"/>
      <c r="G27" s="2481"/>
      <c r="H27" s="2481"/>
      <c r="I27" s="48"/>
      <c r="J27" s="48"/>
      <c r="K27" s="48"/>
    </row>
    <row r="28" spans="1:12" ht="39" customHeight="1" x14ac:dyDescent="0.25">
      <c r="A28" s="48"/>
      <c r="B28" s="2482" t="s">
        <v>2278</v>
      </c>
      <c r="C28" s="2482"/>
      <c r="D28" s="2481"/>
      <c r="E28" s="2481"/>
      <c r="F28" s="2481"/>
      <c r="G28" s="2481"/>
      <c r="H28" s="2481"/>
      <c r="I28" s="48"/>
      <c r="J28" s="48"/>
      <c r="K28" s="48"/>
      <c r="L28" s="37">
        <f>IF(AND(D26&lt;&gt;"",D27&lt;&gt;"",D28&lt;&gt;""),1,0)</f>
        <v>0</v>
      </c>
    </row>
    <row r="29" spans="1:12" ht="16.5" customHeight="1" x14ac:dyDescent="0.25">
      <c r="A29" s="48"/>
      <c r="B29" s="48"/>
      <c r="C29" s="48"/>
      <c r="D29" s="48"/>
      <c r="E29" s="48"/>
      <c r="F29" s="48"/>
      <c r="G29" s="48"/>
      <c r="H29" s="48"/>
      <c r="I29" s="48"/>
      <c r="J29" s="48"/>
      <c r="K29" s="48"/>
    </row>
    <row r="30" spans="1:12" ht="14.25" customHeight="1" x14ac:dyDescent="0.25">
      <c r="A30" s="48"/>
      <c r="B30" s="121" t="s">
        <v>2514</v>
      </c>
      <c r="C30" s="121"/>
      <c r="D30" s="121"/>
      <c r="E30" s="121"/>
      <c r="F30" s="121"/>
      <c r="G30" s="121"/>
      <c r="H30" s="121"/>
      <c r="I30" s="121"/>
      <c r="J30" s="121"/>
      <c r="K30" s="48"/>
    </row>
    <row r="31" spans="1:12" ht="19.5" customHeight="1" x14ac:dyDescent="0.25">
      <c r="A31" s="48"/>
      <c r="B31" s="2482" t="s">
        <v>2511</v>
      </c>
      <c r="C31" s="2482"/>
      <c r="D31" s="2481"/>
      <c r="E31" s="2481"/>
      <c r="F31" s="2481"/>
      <c r="G31" s="2481"/>
      <c r="H31" s="2481"/>
      <c r="I31" s="48"/>
      <c r="J31" s="48"/>
      <c r="K31" s="48"/>
    </row>
    <row r="32" spans="1:12" ht="39" customHeight="1" x14ac:dyDescent="0.25">
      <c r="A32" s="48"/>
      <c r="B32" s="2482" t="s">
        <v>2277</v>
      </c>
      <c r="C32" s="2482"/>
      <c r="D32" s="2481"/>
      <c r="E32" s="2481"/>
      <c r="F32" s="2481"/>
      <c r="G32" s="2481"/>
      <c r="H32" s="2481"/>
      <c r="I32" s="48"/>
      <c r="J32" s="48"/>
      <c r="K32" s="48"/>
    </row>
    <row r="33" spans="1:12" ht="39" customHeight="1" x14ac:dyDescent="0.25">
      <c r="A33" s="48"/>
      <c r="B33" s="2482" t="s">
        <v>2278</v>
      </c>
      <c r="C33" s="2482"/>
      <c r="D33" s="2481"/>
      <c r="E33" s="2481"/>
      <c r="F33" s="2481"/>
      <c r="G33" s="2481"/>
      <c r="H33" s="2481"/>
      <c r="I33" s="48"/>
      <c r="J33" s="48"/>
      <c r="K33" s="48"/>
      <c r="L33" s="37">
        <f>IF(AND(D31&lt;&gt;"",D32&lt;&gt;"",D33&lt;&gt;""),1,0)</f>
        <v>0</v>
      </c>
    </row>
    <row r="34" spans="1:12" ht="16.5" customHeight="1" x14ac:dyDescent="0.25">
      <c r="A34" s="48"/>
      <c r="B34" s="48"/>
      <c r="C34" s="48"/>
      <c r="D34" s="48"/>
      <c r="E34" s="48"/>
      <c r="F34" s="48"/>
      <c r="G34" s="48"/>
      <c r="H34" s="48"/>
      <c r="I34" s="48"/>
      <c r="J34" s="48"/>
      <c r="K34" s="48"/>
    </row>
    <row r="35" spans="1:12" ht="14.25" customHeight="1" x14ac:dyDescent="0.25">
      <c r="A35" s="48"/>
      <c r="B35" s="121" t="s">
        <v>2515</v>
      </c>
      <c r="C35" s="121"/>
      <c r="D35" s="121"/>
      <c r="E35" s="121"/>
      <c r="F35" s="121"/>
      <c r="G35" s="121"/>
      <c r="H35" s="121"/>
      <c r="I35" s="121"/>
      <c r="J35" s="121"/>
      <c r="K35" s="48"/>
    </row>
    <row r="36" spans="1:12" ht="19.5" customHeight="1" x14ac:dyDescent="0.25">
      <c r="A36" s="48"/>
      <c r="B36" s="2482" t="s">
        <v>2511</v>
      </c>
      <c r="C36" s="2482"/>
      <c r="D36" s="2481"/>
      <c r="E36" s="2481"/>
      <c r="F36" s="2481"/>
      <c r="G36" s="2481"/>
      <c r="H36" s="2481"/>
      <c r="I36" s="48"/>
      <c r="J36" s="48"/>
      <c r="K36" s="48"/>
    </row>
    <row r="37" spans="1:12" ht="39" customHeight="1" x14ac:dyDescent="0.25">
      <c r="A37" s="48"/>
      <c r="B37" s="2482" t="s">
        <v>2277</v>
      </c>
      <c r="C37" s="2482"/>
      <c r="D37" s="2481"/>
      <c r="E37" s="2481"/>
      <c r="F37" s="2481"/>
      <c r="G37" s="2481"/>
      <c r="H37" s="2481"/>
      <c r="I37" s="48"/>
      <c r="J37" s="48"/>
      <c r="K37" s="48"/>
    </row>
    <row r="38" spans="1:12" ht="39" customHeight="1" x14ac:dyDescent="0.25">
      <c r="A38" s="48"/>
      <c r="B38" s="2482" t="s">
        <v>2278</v>
      </c>
      <c r="C38" s="2482"/>
      <c r="D38" s="2481"/>
      <c r="E38" s="2481"/>
      <c r="F38" s="2481"/>
      <c r="G38" s="2481"/>
      <c r="H38" s="2481"/>
      <c r="I38" s="48"/>
      <c r="J38" s="48"/>
      <c r="K38" s="48"/>
      <c r="L38" s="37">
        <f>IF(AND(D36&lt;&gt;"",D37&lt;&gt;"",D38&lt;&gt;""),1,0)</f>
        <v>0</v>
      </c>
    </row>
    <row r="39" spans="1:12" x14ac:dyDescent="0.25">
      <c r="A39" s="48"/>
      <c r="B39" s="48"/>
      <c r="C39" s="48"/>
      <c r="D39" s="48"/>
      <c r="E39" s="48"/>
      <c r="F39" s="48"/>
      <c r="G39" s="48"/>
      <c r="H39" s="48"/>
      <c r="I39" s="48"/>
      <c r="J39" s="48"/>
      <c r="K39" s="48"/>
    </row>
    <row r="40" spans="1:12" x14ac:dyDescent="0.25">
      <c r="A40" s="48"/>
      <c r="B40" s="121" t="s">
        <v>2516</v>
      </c>
      <c r="C40" s="121"/>
      <c r="D40" s="121"/>
      <c r="E40" s="121"/>
      <c r="F40" s="121"/>
      <c r="G40" s="121"/>
      <c r="H40" s="121"/>
      <c r="I40" s="48"/>
      <c r="J40" s="48"/>
      <c r="K40" s="48"/>
    </row>
    <row r="41" spans="1:12" ht="19.5" customHeight="1" x14ac:dyDescent="0.25">
      <c r="A41" s="48"/>
      <c r="B41" s="2482" t="s">
        <v>2511</v>
      </c>
      <c r="C41" s="2482"/>
      <c r="D41" s="2481"/>
      <c r="E41" s="2481"/>
      <c r="F41" s="2481"/>
      <c r="G41" s="2481"/>
      <c r="H41" s="2481"/>
      <c r="I41" s="48"/>
      <c r="J41" s="48"/>
      <c r="K41" s="48"/>
    </row>
    <row r="42" spans="1:12" ht="39" customHeight="1" x14ac:dyDescent="0.25">
      <c r="A42" s="48"/>
      <c r="B42" s="2482" t="s">
        <v>2277</v>
      </c>
      <c r="C42" s="2482"/>
      <c r="D42" s="2481"/>
      <c r="E42" s="2481"/>
      <c r="F42" s="2481"/>
      <c r="G42" s="2481"/>
      <c r="H42" s="2481"/>
      <c r="I42" s="48"/>
      <c r="J42" s="48"/>
      <c r="K42" s="48"/>
    </row>
    <row r="43" spans="1:12" ht="39" customHeight="1" x14ac:dyDescent="0.25">
      <c r="A43" s="48"/>
      <c r="B43" s="2482" t="s">
        <v>2278</v>
      </c>
      <c r="C43" s="2482"/>
      <c r="D43" s="2481"/>
      <c r="E43" s="2481"/>
      <c r="F43" s="2481"/>
      <c r="G43" s="2481"/>
      <c r="H43" s="2481"/>
      <c r="I43" s="48"/>
      <c r="J43" s="48"/>
      <c r="K43" s="48"/>
      <c r="L43" s="37">
        <f>IF(AND(D41&lt;&gt;"",D42&lt;&gt;"",D43&lt;&gt;""),1,0)</f>
        <v>0</v>
      </c>
    </row>
    <row r="44" spans="1:12" x14ac:dyDescent="0.25">
      <c r="A44" s="48"/>
      <c r="B44" s="48"/>
      <c r="C44" s="48"/>
      <c r="D44" s="48"/>
      <c r="E44" s="48"/>
      <c r="F44" s="48"/>
      <c r="G44" s="48"/>
      <c r="H44" s="48"/>
      <c r="I44" s="48"/>
      <c r="J44" s="48"/>
      <c r="K44" s="48"/>
    </row>
    <row r="45" spans="1:12" x14ac:dyDescent="0.25">
      <c r="A45" s="48"/>
      <c r="B45" s="121" t="s">
        <v>2517</v>
      </c>
      <c r="C45" s="121"/>
      <c r="D45" s="121"/>
      <c r="E45" s="121"/>
      <c r="F45" s="121"/>
      <c r="G45" s="121"/>
      <c r="H45" s="121"/>
      <c r="I45" s="48"/>
      <c r="J45" s="48"/>
      <c r="K45" s="48"/>
    </row>
    <row r="46" spans="1:12" ht="19.5" customHeight="1" x14ac:dyDescent="0.25">
      <c r="A46" s="48"/>
      <c r="B46" s="2482" t="s">
        <v>2276</v>
      </c>
      <c r="C46" s="2482"/>
      <c r="D46" s="2481"/>
      <c r="E46" s="2481"/>
      <c r="F46" s="2481"/>
      <c r="G46" s="2481"/>
      <c r="H46" s="2481"/>
      <c r="I46" s="48"/>
      <c r="J46" s="48"/>
      <c r="K46" s="48"/>
    </row>
    <row r="47" spans="1:12" ht="39" customHeight="1" x14ac:dyDescent="0.25">
      <c r="A47" s="48"/>
      <c r="B47" s="2482" t="s">
        <v>2277</v>
      </c>
      <c r="C47" s="2482"/>
      <c r="D47" s="2481"/>
      <c r="E47" s="2481"/>
      <c r="F47" s="2481"/>
      <c r="G47" s="2481"/>
      <c r="H47" s="2481"/>
      <c r="I47" s="48"/>
      <c r="J47" s="48"/>
      <c r="K47" s="48"/>
    </row>
    <row r="48" spans="1:12" ht="39" customHeight="1" x14ac:dyDescent="0.25">
      <c r="A48" s="48"/>
      <c r="B48" s="2482" t="s">
        <v>2278</v>
      </c>
      <c r="C48" s="2482"/>
      <c r="D48" s="2481"/>
      <c r="E48" s="2481"/>
      <c r="F48" s="2481"/>
      <c r="G48" s="2481"/>
      <c r="H48" s="2481"/>
      <c r="I48" s="48"/>
      <c r="J48" s="48"/>
      <c r="K48" s="48"/>
      <c r="L48" s="37">
        <f>IF(AND(D46&lt;&gt;"",D47&lt;&gt;"",D48&lt;&gt;""),1,0)</f>
        <v>0</v>
      </c>
    </row>
    <row r="49" spans="1:13" ht="20.25" customHeight="1" x14ac:dyDescent="0.25">
      <c r="A49" s="48"/>
      <c r="B49" s="48"/>
      <c r="C49" s="48"/>
      <c r="D49" s="48"/>
      <c r="E49" s="48"/>
      <c r="F49" s="48"/>
      <c r="G49" s="48"/>
      <c r="H49" s="48"/>
      <c r="I49" s="48"/>
      <c r="J49" s="48"/>
      <c r="K49" s="48"/>
    </row>
    <row r="50" spans="1:13" ht="18" customHeight="1" x14ac:dyDescent="0.25">
      <c r="A50" s="2471" t="s">
        <v>97</v>
      </c>
      <c r="B50" s="2471"/>
      <c r="C50" s="2471"/>
      <c r="D50" s="2471"/>
      <c r="E50" s="2471"/>
      <c r="F50" s="2471"/>
      <c r="G50" s="2471"/>
      <c r="H50" s="2471"/>
      <c r="I50" s="2471"/>
      <c r="J50" s="2471"/>
      <c r="K50" s="2471"/>
    </row>
    <row r="51" spans="1:13" x14ac:dyDescent="0.25">
      <c r="A51" s="48"/>
      <c r="B51" s="49"/>
      <c r="C51" s="49"/>
      <c r="D51" s="49"/>
      <c r="E51" s="48"/>
      <c r="F51" s="48"/>
      <c r="G51" s="48"/>
      <c r="H51" s="48"/>
      <c r="I51" s="48"/>
      <c r="J51" s="48"/>
      <c r="K51" s="48"/>
    </row>
    <row r="52" spans="1:13" ht="21" customHeight="1" x14ac:dyDescent="0.25">
      <c r="A52" s="48"/>
      <c r="B52" s="2477" t="s">
        <v>2502</v>
      </c>
      <c r="C52" s="2478"/>
      <c r="D52" s="2478"/>
      <c r="E52" s="2478"/>
      <c r="F52" s="2478"/>
      <c r="G52" s="1226" t="s">
        <v>1297</v>
      </c>
      <c r="H52" s="2479" t="s">
        <v>1298</v>
      </c>
      <c r="I52" s="2480"/>
      <c r="J52" s="48"/>
      <c r="K52" s="48"/>
    </row>
    <row r="53" spans="1:13" ht="30" customHeight="1" x14ac:dyDescent="0.25">
      <c r="A53" s="48"/>
      <c r="B53" s="1644" t="str">
        <f>Submittals!$H$194</f>
        <v>Select the Submission Stage in Project Information</v>
      </c>
      <c r="C53" s="1645"/>
      <c r="D53" s="1645"/>
      <c r="E53" s="1645"/>
      <c r="F53" s="1646"/>
      <c r="G53" s="1223" t="s">
        <v>62</v>
      </c>
      <c r="H53" s="1625"/>
      <c r="I53" s="1626"/>
      <c r="J53" s="48"/>
      <c r="K53" s="48"/>
      <c r="L53" s="37" t="str">
        <f>IF(OR(B53="/",B53="No evidence required at this submission stage"),"Yes",IF(G53="Submitted","Yes","No"))</f>
        <v>No</v>
      </c>
    </row>
    <row r="54" spans="1:13" ht="39" customHeight="1" x14ac:dyDescent="0.25">
      <c r="A54" s="48"/>
      <c r="B54" s="1644" t="str">
        <f>Submittals!$H$195</f>
        <v>Select the Submission Stage in Project Information</v>
      </c>
      <c r="C54" s="1645"/>
      <c r="D54" s="1645"/>
      <c r="E54" s="1645"/>
      <c r="F54" s="1646"/>
      <c r="G54" s="1300" t="s">
        <v>62</v>
      </c>
      <c r="H54" s="1625"/>
      <c r="I54" s="1626"/>
      <c r="J54" s="48"/>
      <c r="K54" s="48"/>
      <c r="L54" s="37" t="str">
        <f>IF(OR(B54="/",B54="No evidence required at this submission stage"),"Yes",IF(OR(G54="Already approved at PC",G54="Submitted"),"Yes","No"))</f>
        <v>No</v>
      </c>
      <c r="M54" s="37" t="str">
        <f>IF(AND(L53="Yes",L54="Yes"),"Yes","No")</f>
        <v>No</v>
      </c>
    </row>
    <row r="55" spans="1:13" ht="12.75" customHeight="1" x14ac:dyDescent="0.25">
      <c r="A55" s="48"/>
      <c r="B55" s="49"/>
      <c r="C55" s="49"/>
      <c r="D55" s="49"/>
      <c r="E55" s="48"/>
      <c r="F55" s="48"/>
      <c r="G55" s="48"/>
      <c r="H55" s="48"/>
      <c r="I55" s="48"/>
      <c r="J55" s="48"/>
      <c r="K55" s="48"/>
    </row>
    <row r="56" spans="1:13" ht="21" customHeight="1" x14ac:dyDescent="0.25">
      <c r="A56" s="48"/>
      <c r="B56" s="2477" t="s">
        <v>2503</v>
      </c>
      <c r="C56" s="2478"/>
      <c r="D56" s="2478"/>
      <c r="E56" s="2478"/>
      <c r="F56" s="2478"/>
      <c r="G56" s="1226" t="s">
        <v>1297</v>
      </c>
      <c r="H56" s="2479" t="s">
        <v>1298</v>
      </c>
      <c r="I56" s="2480"/>
      <c r="J56" s="48"/>
      <c r="K56" s="48"/>
    </row>
    <row r="57" spans="1:13" ht="30" customHeight="1" x14ac:dyDescent="0.25">
      <c r="A57" s="48"/>
      <c r="B57" s="1644" t="str">
        <f>Submittals!$H$194</f>
        <v>Select the Submission Stage in Project Information</v>
      </c>
      <c r="C57" s="1645"/>
      <c r="D57" s="1645"/>
      <c r="E57" s="1645"/>
      <c r="F57" s="1646"/>
      <c r="G57" s="1223" t="s">
        <v>62</v>
      </c>
      <c r="H57" s="1625"/>
      <c r="I57" s="1626"/>
      <c r="J57" s="48"/>
      <c r="K57" s="48"/>
      <c r="L57" s="37" t="str">
        <f>IF(OR(B57="/",B57="No evidence required at this submission stage"),"Yes",IF(G57="Submitted","Yes","No"))</f>
        <v>No</v>
      </c>
    </row>
    <row r="58" spans="1:13" ht="39" customHeight="1" x14ac:dyDescent="0.25">
      <c r="A58" s="48"/>
      <c r="B58" s="1644" t="str">
        <f>Submittals!$H$195</f>
        <v>Select the Submission Stage in Project Information</v>
      </c>
      <c r="C58" s="1645"/>
      <c r="D58" s="1645"/>
      <c r="E58" s="1645"/>
      <c r="F58" s="1646"/>
      <c r="G58" s="1300" t="s">
        <v>62</v>
      </c>
      <c r="H58" s="1625"/>
      <c r="I58" s="1626"/>
      <c r="J58" s="48"/>
      <c r="K58" s="48"/>
      <c r="L58" s="37" t="str">
        <f>IF(OR(B58="/",B58="No evidence required at this submission stage"),"Yes",IF(OR(G58="Already approved at PC",G58="Submitted"),"Yes","No"))</f>
        <v>No</v>
      </c>
      <c r="M58" s="37" t="str">
        <f>IF(AND(L57="Yes",L58="Yes"),"Yes","No")</f>
        <v>No</v>
      </c>
    </row>
    <row r="59" spans="1:13" ht="12.75" customHeight="1" x14ac:dyDescent="0.25">
      <c r="A59" s="48"/>
      <c r="B59" s="49"/>
      <c r="C59" s="49"/>
      <c r="D59" s="49"/>
      <c r="E59" s="48"/>
      <c r="F59" s="48"/>
      <c r="G59" s="48"/>
      <c r="H59" s="48"/>
      <c r="I59" s="48"/>
      <c r="J59" s="48"/>
      <c r="K59" s="48"/>
    </row>
    <row r="60" spans="1:13" ht="21" customHeight="1" x14ac:dyDescent="0.25">
      <c r="A60" s="48"/>
      <c r="B60" s="2477" t="s">
        <v>2504</v>
      </c>
      <c r="C60" s="2478"/>
      <c r="D60" s="2478"/>
      <c r="E60" s="2478"/>
      <c r="F60" s="2478"/>
      <c r="G60" s="1226" t="s">
        <v>1297</v>
      </c>
      <c r="H60" s="2479" t="s">
        <v>1298</v>
      </c>
      <c r="I60" s="2480"/>
      <c r="J60" s="48"/>
      <c r="K60" s="48"/>
    </row>
    <row r="61" spans="1:13" ht="30" customHeight="1" x14ac:dyDescent="0.25">
      <c r="A61" s="48"/>
      <c r="B61" s="1644" t="str">
        <f>Submittals!$H$194</f>
        <v>Select the Submission Stage in Project Information</v>
      </c>
      <c r="C61" s="1645"/>
      <c r="D61" s="1645"/>
      <c r="E61" s="1645"/>
      <c r="F61" s="1646"/>
      <c r="G61" s="1223" t="s">
        <v>62</v>
      </c>
      <c r="H61" s="1625"/>
      <c r="I61" s="1626"/>
      <c r="J61" s="48"/>
      <c r="K61" s="48"/>
      <c r="L61" s="37" t="str">
        <f>IF(OR(B61="/",B61="No evidence required at this submission stage"),"Yes",IF(G61="Submitted","Yes","No"))</f>
        <v>No</v>
      </c>
    </row>
    <row r="62" spans="1:13" ht="39" customHeight="1" x14ac:dyDescent="0.25">
      <c r="A62" s="48"/>
      <c r="B62" s="1644" t="str">
        <f>Submittals!$H$195</f>
        <v>Select the Submission Stage in Project Information</v>
      </c>
      <c r="C62" s="1645"/>
      <c r="D62" s="1645"/>
      <c r="E62" s="1645"/>
      <c r="F62" s="1646"/>
      <c r="G62" s="1300" t="s">
        <v>62</v>
      </c>
      <c r="H62" s="1625"/>
      <c r="I62" s="1626"/>
      <c r="J62" s="48"/>
      <c r="K62" s="48"/>
      <c r="L62" s="37" t="str">
        <f>IF(OR(B62="/",B62="No evidence required at this submission stage"),"Yes",IF(OR(G62="Already approved at PC",G62="Submitted"),"Yes","No"))</f>
        <v>No</v>
      </c>
      <c r="M62" s="37" t="str">
        <f>IF(AND(L61="Yes",L62="Yes"),"Yes","No")</f>
        <v>No</v>
      </c>
    </row>
    <row r="63" spans="1:13" ht="12.75" customHeight="1" x14ac:dyDescent="0.25">
      <c r="A63" s="48"/>
      <c r="B63" s="49"/>
      <c r="C63" s="49"/>
      <c r="D63" s="49"/>
      <c r="E63" s="48"/>
      <c r="F63" s="48"/>
      <c r="G63" s="48"/>
      <c r="H63" s="48"/>
      <c r="I63" s="48"/>
      <c r="J63" s="48"/>
      <c r="K63" s="48"/>
    </row>
    <row r="64" spans="1:13" ht="21" customHeight="1" x14ac:dyDescent="0.25">
      <c r="A64" s="48"/>
      <c r="B64" s="2477" t="s">
        <v>2505</v>
      </c>
      <c r="C64" s="2478"/>
      <c r="D64" s="2478"/>
      <c r="E64" s="2478"/>
      <c r="F64" s="2478"/>
      <c r="G64" s="1226" t="s">
        <v>1297</v>
      </c>
      <c r="H64" s="2479" t="s">
        <v>1298</v>
      </c>
      <c r="I64" s="2480"/>
      <c r="J64" s="48"/>
      <c r="K64" s="48"/>
    </row>
    <row r="65" spans="1:13" ht="30" customHeight="1" x14ac:dyDescent="0.25">
      <c r="A65" s="48"/>
      <c r="B65" s="1644" t="str">
        <f>Submittals!$H$194</f>
        <v>Select the Submission Stage in Project Information</v>
      </c>
      <c r="C65" s="1645"/>
      <c r="D65" s="1645"/>
      <c r="E65" s="1645"/>
      <c r="F65" s="1646"/>
      <c r="G65" s="1223" t="s">
        <v>62</v>
      </c>
      <c r="H65" s="1625"/>
      <c r="I65" s="1626"/>
      <c r="J65" s="48"/>
      <c r="K65" s="48"/>
      <c r="L65" s="37" t="str">
        <f>IF(OR(B65="/",B65="No evidence required at this submission stage"),"Yes",IF(G65="Submitted","Yes","No"))</f>
        <v>No</v>
      </c>
    </row>
    <row r="66" spans="1:13" ht="39" customHeight="1" x14ac:dyDescent="0.25">
      <c r="A66" s="48"/>
      <c r="B66" s="1644" t="str">
        <f>Submittals!$H$195</f>
        <v>Select the Submission Stage in Project Information</v>
      </c>
      <c r="C66" s="1645"/>
      <c r="D66" s="1645"/>
      <c r="E66" s="1645"/>
      <c r="F66" s="1646"/>
      <c r="G66" s="1300" t="s">
        <v>62</v>
      </c>
      <c r="H66" s="1625"/>
      <c r="I66" s="1626"/>
      <c r="J66" s="48"/>
      <c r="K66" s="48"/>
      <c r="L66" s="37" t="str">
        <f>IF(OR(B66="/",B66="No evidence required at this submission stage"),"Yes",IF(OR(G66="Already approved at PC",G66="Submitted"),"Yes","No"))</f>
        <v>No</v>
      </c>
      <c r="M66" s="37" t="str">
        <f>IF(AND(L65="Yes",L66="Yes"),"Yes","No")</f>
        <v>No</v>
      </c>
    </row>
    <row r="67" spans="1:13" ht="12.75" customHeight="1" x14ac:dyDescent="0.25">
      <c r="A67" s="48"/>
      <c r="B67" s="49"/>
      <c r="C67" s="49"/>
      <c r="D67" s="49"/>
      <c r="E67" s="48"/>
      <c r="F67" s="48"/>
      <c r="G67" s="48"/>
      <c r="H67" s="48"/>
      <c r="I67" s="48"/>
      <c r="J67" s="48"/>
      <c r="K67" s="48"/>
    </row>
    <row r="68" spans="1:13" ht="21" customHeight="1" x14ac:dyDescent="0.25">
      <c r="A68" s="48"/>
      <c r="B68" s="2477" t="s">
        <v>2506</v>
      </c>
      <c r="C68" s="2478"/>
      <c r="D68" s="2478"/>
      <c r="E68" s="2478"/>
      <c r="F68" s="2478"/>
      <c r="G68" s="1226" t="s">
        <v>1297</v>
      </c>
      <c r="H68" s="2479" t="s">
        <v>1298</v>
      </c>
      <c r="I68" s="2480"/>
      <c r="J68" s="48"/>
      <c r="K68" s="48"/>
    </row>
    <row r="69" spans="1:13" ht="30" customHeight="1" x14ac:dyDescent="0.25">
      <c r="A69" s="48"/>
      <c r="B69" s="1644" t="str">
        <f>Submittals!$H$194</f>
        <v>Select the Submission Stage in Project Information</v>
      </c>
      <c r="C69" s="1645"/>
      <c r="D69" s="1645"/>
      <c r="E69" s="1645"/>
      <c r="F69" s="1646"/>
      <c r="G69" s="1223" t="s">
        <v>62</v>
      </c>
      <c r="H69" s="1625"/>
      <c r="I69" s="1626"/>
      <c r="J69" s="48"/>
      <c r="K69" s="48"/>
      <c r="L69" s="37" t="str">
        <f>IF(OR(B69="/",B69="No evidence required at this submission stage"),"Yes",IF(G69="Submitted","Yes","No"))</f>
        <v>No</v>
      </c>
    </row>
    <row r="70" spans="1:13" ht="39" customHeight="1" x14ac:dyDescent="0.25">
      <c r="A70" s="48"/>
      <c r="B70" s="1644" t="str">
        <f>Submittals!$H$195</f>
        <v>Select the Submission Stage in Project Information</v>
      </c>
      <c r="C70" s="1645"/>
      <c r="D70" s="1645"/>
      <c r="E70" s="1645"/>
      <c r="F70" s="1646"/>
      <c r="G70" s="1300" t="s">
        <v>62</v>
      </c>
      <c r="H70" s="1625"/>
      <c r="I70" s="1626"/>
      <c r="J70" s="48"/>
      <c r="K70" s="48"/>
      <c r="L70" s="37" t="str">
        <f>IF(OR(B70="/",B70="No evidence required at this submission stage"),"Yes",IF(OR(G70="Already approved at PC",G70="Submitted"),"Yes","No"))</f>
        <v>No</v>
      </c>
      <c r="M70" s="37" t="str">
        <f>IF(AND(L69="Yes",L70="Yes"),"Yes","No")</f>
        <v>No</v>
      </c>
    </row>
    <row r="71" spans="1:13" ht="15" customHeight="1" x14ac:dyDescent="0.25">
      <c r="A71" s="48"/>
      <c r="B71" s="2069"/>
      <c r="C71" s="2069"/>
      <c r="D71" s="2069"/>
      <c r="E71" s="2069"/>
      <c r="F71" s="2069"/>
      <c r="G71" s="2069"/>
      <c r="H71" s="48"/>
      <c r="I71" s="48"/>
      <c r="J71" s="48"/>
      <c r="K71" s="48"/>
    </row>
    <row r="72" spans="1:13" ht="21" customHeight="1" x14ac:dyDescent="0.25">
      <c r="A72" s="48"/>
      <c r="B72" s="2477" t="s">
        <v>2507</v>
      </c>
      <c r="C72" s="2478"/>
      <c r="D72" s="2478"/>
      <c r="E72" s="2478"/>
      <c r="F72" s="2478"/>
      <c r="G72" s="1226" t="s">
        <v>1297</v>
      </c>
      <c r="H72" s="2479" t="s">
        <v>1298</v>
      </c>
      <c r="I72" s="2480"/>
      <c r="J72" s="48"/>
      <c r="K72" s="48"/>
    </row>
    <row r="73" spans="1:13" ht="30" customHeight="1" x14ac:dyDescent="0.25">
      <c r="A73" s="48"/>
      <c r="B73" s="1644" t="str">
        <f>Submittals!$H$194</f>
        <v>Select the Submission Stage in Project Information</v>
      </c>
      <c r="C73" s="1645"/>
      <c r="D73" s="1645"/>
      <c r="E73" s="1645"/>
      <c r="F73" s="1646"/>
      <c r="G73" s="1223" t="s">
        <v>62</v>
      </c>
      <c r="H73" s="1625"/>
      <c r="I73" s="1626"/>
      <c r="J73" s="48"/>
      <c r="K73" s="48"/>
      <c r="L73" s="37" t="str">
        <f>IF(OR(B73="/",B73="No evidence required at this submission stage"),"Yes",IF(G73="Submitted","Yes","No"))</f>
        <v>No</v>
      </c>
    </row>
    <row r="74" spans="1:13" ht="39" customHeight="1" x14ac:dyDescent="0.25">
      <c r="A74" s="48"/>
      <c r="B74" s="1644" t="str">
        <f>Submittals!$H$195</f>
        <v>Select the Submission Stage in Project Information</v>
      </c>
      <c r="C74" s="1645"/>
      <c r="D74" s="1645"/>
      <c r="E74" s="1645"/>
      <c r="F74" s="1646"/>
      <c r="G74" s="1300" t="s">
        <v>62</v>
      </c>
      <c r="H74" s="1625"/>
      <c r="I74" s="1626"/>
      <c r="J74" s="48"/>
      <c r="K74" s="48"/>
      <c r="L74" s="37" t="str">
        <f>IF(OR(B74="/",B74="No evidence required at this submission stage"),"Yes",IF(OR(G74="Already approved at PC",G74="Submitted"),"Yes","No"))</f>
        <v>No</v>
      </c>
      <c r="M74" s="37" t="str">
        <f>IF(AND(L73="Yes",L74="Yes"),"Yes","No")</f>
        <v>No</v>
      </c>
    </row>
    <row r="75" spans="1:13" x14ac:dyDescent="0.25">
      <c r="A75" s="48"/>
      <c r="B75" s="49"/>
      <c r="C75" s="49"/>
      <c r="D75" s="49"/>
      <c r="E75" s="48"/>
      <c r="F75" s="48"/>
      <c r="G75" s="48"/>
      <c r="H75" s="48"/>
      <c r="I75" s="48"/>
      <c r="J75" s="48"/>
      <c r="K75" s="48"/>
    </row>
    <row r="76" spans="1:13" ht="18" customHeight="1" x14ac:dyDescent="0.25">
      <c r="A76" s="2471" t="s">
        <v>8</v>
      </c>
      <c r="B76" s="2471"/>
      <c r="C76" s="2471"/>
      <c r="D76" s="2471"/>
      <c r="E76" s="2471"/>
      <c r="F76" s="2471"/>
      <c r="G76" s="2471"/>
      <c r="H76" s="2471"/>
      <c r="I76" s="2471"/>
      <c r="J76" s="2471"/>
      <c r="K76" s="2471"/>
    </row>
    <row r="77" spans="1:13" x14ac:dyDescent="0.25">
      <c r="A77" s="48"/>
      <c r="B77" s="49"/>
      <c r="C77" s="49"/>
      <c r="D77" s="49"/>
      <c r="E77" s="49"/>
      <c r="F77" s="48"/>
      <c r="G77" s="48"/>
      <c r="H77" s="48"/>
      <c r="I77" s="48"/>
      <c r="J77" s="48"/>
      <c r="K77" s="48"/>
    </row>
    <row r="78" spans="1:13" ht="18" customHeight="1" x14ac:dyDescent="0.25">
      <c r="A78" s="48"/>
      <c r="B78" s="249" t="s">
        <v>19</v>
      </c>
      <c r="C78" s="8">
        <f>SUM(L23:L48)</f>
        <v>0</v>
      </c>
      <c r="D78" s="49"/>
      <c r="E78" s="48"/>
      <c r="F78" s="48"/>
      <c r="G78" s="48"/>
      <c r="H78" s="48"/>
      <c r="I78" s="48"/>
      <c r="J78" s="48"/>
      <c r="K78" s="48"/>
    </row>
    <row r="79" spans="1:13" ht="18" customHeight="1" x14ac:dyDescent="0.25">
      <c r="A79" s="48"/>
      <c r="B79" s="249" t="s">
        <v>151</v>
      </c>
      <c r="C79" s="116" t="str">
        <f>IF(C78&gt;0,IF(C78=COUNTIF(M53:M74,"Yes"),"Yes","No"),"No")</f>
        <v>No</v>
      </c>
      <c r="D79" s="49"/>
      <c r="E79" s="49"/>
      <c r="F79" s="48"/>
      <c r="G79" s="48"/>
      <c r="H79" s="48"/>
      <c r="I79" s="48"/>
      <c r="J79" s="48"/>
      <c r="K79" s="48"/>
    </row>
    <row r="80" spans="1:13" x14ac:dyDescent="0.25">
      <c r="A80" s="48"/>
      <c r="B80" s="49"/>
      <c r="C80" s="49"/>
      <c r="D80" s="49"/>
      <c r="E80" s="49"/>
      <c r="F80" s="48"/>
      <c r="G80" s="48"/>
      <c r="H80" s="48"/>
      <c r="I80" s="48"/>
      <c r="J80" s="48"/>
      <c r="K80" s="48"/>
    </row>
    <row r="81" spans="10:11" hidden="1" x14ac:dyDescent="0.25">
      <c r="J81" s="48"/>
      <c r="K81" s="48"/>
    </row>
    <row r="82" spans="10:11" hidden="1" x14ac:dyDescent="0.25">
      <c r="J82" s="48"/>
      <c r="K82" s="48"/>
    </row>
    <row r="83" spans="10:11" hidden="1" x14ac:dyDescent="0.25">
      <c r="J83" s="48"/>
      <c r="K83" s="48"/>
    </row>
    <row r="84" spans="10:11" ht="15" hidden="1" customHeight="1" x14ac:dyDescent="0.25"/>
    <row r="85" spans="10:11" ht="15" hidden="1" customHeight="1" x14ac:dyDescent="0.25"/>
    <row r="86" spans="10:11" ht="15" hidden="1" customHeight="1" x14ac:dyDescent="0.25"/>
    <row r="87" spans="10:11" ht="15" hidden="1" customHeight="1" x14ac:dyDescent="0.25"/>
    <row r="88" spans="10:11" ht="15" hidden="1" customHeight="1" x14ac:dyDescent="0.25"/>
    <row r="89" spans="10:11" ht="15" hidden="1" customHeight="1" x14ac:dyDescent="0.25"/>
    <row r="90" spans="10:11" ht="15" hidden="1" customHeight="1" x14ac:dyDescent="0.25"/>
    <row r="91" spans="10:11" ht="15" hidden="1" customHeight="1" x14ac:dyDescent="0.25"/>
    <row r="92" spans="10:11" ht="15" hidden="1" customHeight="1" x14ac:dyDescent="0.25"/>
    <row r="93" spans="10:11" ht="15" hidden="1" customHeight="1" x14ac:dyDescent="0.25"/>
    <row r="94" spans="10:11" ht="15" hidden="1" customHeight="1" x14ac:dyDescent="0.25"/>
    <row r="95" spans="10:11" ht="15" hidden="1" customHeight="1" x14ac:dyDescent="0.25"/>
    <row r="96" spans="10:11"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55" spans="6:6" ht="15" hidden="1" customHeight="1" x14ac:dyDescent="0.25">
      <c r="F155" s="935" t="s">
        <v>2402</v>
      </c>
    </row>
    <row r="184" spans="2:6" ht="15" hidden="1" customHeight="1" x14ac:dyDescent="0.25">
      <c r="B184" s="1279"/>
      <c r="C184" s="1279"/>
      <c r="D184" s="1279"/>
      <c r="E184" s="1279" t="s">
        <v>2610</v>
      </c>
      <c r="F184" s="1279" t="s">
        <v>2609</v>
      </c>
    </row>
    <row r="185" spans="2:6" ht="15" hidden="1" customHeight="1" x14ac:dyDescent="0.25">
      <c r="B185" s="1279"/>
      <c r="C185" s="1279"/>
      <c r="D185" s="1279"/>
      <c r="E185" s="1279"/>
      <c r="F185" s="1280" t="s">
        <v>2611</v>
      </c>
    </row>
  </sheetData>
  <sheetProtection algorithmName="SHA-512" hashValue="0r2mTWm4JS4I7RKGCsYmLkwtvy6zW6RK8Se9nxwjtRPtEDFBqUFmzk18jAxG890tmqc0SP4IrXxiiN2neLZfiA==" saltValue="S8lzxnbBuEjlsaTu33+kPw==" spinCount="100000" sheet="1" objects="1" scenarios="1"/>
  <mergeCells count="83">
    <mergeCell ref="A1:K1"/>
    <mergeCell ref="A9:K9"/>
    <mergeCell ref="A14:K14"/>
    <mergeCell ref="A50:K50"/>
    <mergeCell ref="A76:K76"/>
    <mergeCell ref="B46:C46"/>
    <mergeCell ref="D46:H46"/>
    <mergeCell ref="B47:C47"/>
    <mergeCell ref="D47:H47"/>
    <mergeCell ref="B48:C48"/>
    <mergeCell ref="D48:H48"/>
    <mergeCell ref="B41:C41"/>
    <mergeCell ref="D41:H41"/>
    <mergeCell ref="B42:C42"/>
    <mergeCell ref="D42:H42"/>
    <mergeCell ref="B43:C43"/>
    <mergeCell ref="D21:H21"/>
    <mergeCell ref="D22:H22"/>
    <mergeCell ref="D23:H23"/>
    <mergeCell ref="D26:H26"/>
    <mergeCell ref="B23:C23"/>
    <mergeCell ref="B21:C21"/>
    <mergeCell ref="B22:C22"/>
    <mergeCell ref="I2:J4"/>
    <mergeCell ref="A5:K7"/>
    <mergeCell ref="B11:E11"/>
    <mergeCell ref="B12:E12"/>
    <mergeCell ref="K2:K4"/>
    <mergeCell ref="B53:F53"/>
    <mergeCell ref="H53:I53"/>
    <mergeCell ref="B54:F54"/>
    <mergeCell ref="H54:I54"/>
    <mergeCell ref="B56:F56"/>
    <mergeCell ref="H56:I56"/>
    <mergeCell ref="B38:C38"/>
    <mergeCell ref="D38:H38"/>
    <mergeCell ref="D33:H33"/>
    <mergeCell ref="B52:F52"/>
    <mergeCell ref="H52:I52"/>
    <mergeCell ref="D43:H43"/>
    <mergeCell ref="D28:H28"/>
    <mergeCell ref="B26:C26"/>
    <mergeCell ref="B36:C36"/>
    <mergeCell ref="D36:H36"/>
    <mergeCell ref="B37:C37"/>
    <mergeCell ref="D37:H37"/>
    <mergeCell ref="B33:C33"/>
    <mergeCell ref="B31:C31"/>
    <mergeCell ref="D31:H31"/>
    <mergeCell ref="B32:C32"/>
    <mergeCell ref="D32:H32"/>
    <mergeCell ref="B27:C27"/>
    <mergeCell ref="D27:H27"/>
    <mergeCell ref="B28:C28"/>
    <mergeCell ref="B57:F57"/>
    <mergeCell ref="H57:I57"/>
    <mergeCell ref="B58:F58"/>
    <mergeCell ref="H58:I58"/>
    <mergeCell ref="B60:F60"/>
    <mergeCell ref="H60:I60"/>
    <mergeCell ref="B61:F61"/>
    <mergeCell ref="H61:I61"/>
    <mergeCell ref="B62:F62"/>
    <mergeCell ref="H62:I62"/>
    <mergeCell ref="B64:F64"/>
    <mergeCell ref="H64:I64"/>
    <mergeCell ref="B65:F65"/>
    <mergeCell ref="H65:I65"/>
    <mergeCell ref="B66:F66"/>
    <mergeCell ref="H66:I66"/>
    <mergeCell ref="B68:F68"/>
    <mergeCell ref="H68:I68"/>
    <mergeCell ref="B73:F73"/>
    <mergeCell ref="H73:I73"/>
    <mergeCell ref="B74:F74"/>
    <mergeCell ref="H74:I74"/>
    <mergeCell ref="B69:F69"/>
    <mergeCell ref="H69:I69"/>
    <mergeCell ref="B70:F70"/>
    <mergeCell ref="H70:I70"/>
    <mergeCell ref="B72:F72"/>
    <mergeCell ref="H72:I72"/>
    <mergeCell ref="B71:G71"/>
  </mergeCells>
  <conditionalFormatting sqref="G53:H53 H54">
    <cfRule type="expression" dxfId="23" priority="23">
      <formula>$B53="No evidence required at this submission stage"</formula>
    </cfRule>
    <cfRule type="expression" dxfId="22" priority="24">
      <formula>$B53="/"</formula>
    </cfRule>
  </conditionalFormatting>
  <conditionalFormatting sqref="G57:H57 H58">
    <cfRule type="expression" dxfId="21" priority="21">
      <formula>$B57="No evidence required at this submission stage"</formula>
    </cfRule>
    <cfRule type="expression" dxfId="20" priority="22">
      <formula>$B57="/"</formula>
    </cfRule>
  </conditionalFormatting>
  <conditionalFormatting sqref="G61:H61 H62">
    <cfRule type="expression" dxfId="19" priority="19">
      <formula>$B61="No evidence required at this submission stage"</formula>
    </cfRule>
    <cfRule type="expression" dxfId="18" priority="20">
      <formula>$B61="/"</formula>
    </cfRule>
  </conditionalFormatting>
  <conditionalFormatting sqref="G65:H65 H66">
    <cfRule type="expression" dxfId="17" priority="17">
      <formula>$B65="No evidence required at this submission stage"</formula>
    </cfRule>
    <cfRule type="expression" dxfId="16" priority="18">
      <formula>$B65="/"</formula>
    </cfRule>
  </conditionalFormatting>
  <conditionalFormatting sqref="G69:H69 H70">
    <cfRule type="expression" dxfId="15" priority="15">
      <formula>$B69="No evidence required at this submission stage"</formula>
    </cfRule>
    <cfRule type="expression" dxfId="14" priority="16">
      <formula>$B69="/"</formula>
    </cfRule>
  </conditionalFormatting>
  <conditionalFormatting sqref="G73:H73 H74">
    <cfRule type="expression" dxfId="13" priority="13">
      <formula>$B73="No evidence required at this submission stage"</formula>
    </cfRule>
    <cfRule type="expression" dxfId="12" priority="14">
      <formula>$B73="/"</formula>
    </cfRule>
  </conditionalFormatting>
  <conditionalFormatting sqref="G74">
    <cfRule type="expression" dxfId="11" priority="11">
      <formula>$B74="/"</formula>
    </cfRule>
    <cfRule type="expression" dxfId="10" priority="12">
      <formula>$B74="No evidence required at this submission stage"</formula>
    </cfRule>
  </conditionalFormatting>
  <conditionalFormatting sqref="G70">
    <cfRule type="expression" dxfId="9" priority="9">
      <formula>$B70="/"</formula>
    </cfRule>
    <cfRule type="expression" dxfId="8" priority="10">
      <formula>$B70="No evidence required at this submission stage"</formula>
    </cfRule>
  </conditionalFormatting>
  <conditionalFormatting sqref="G66">
    <cfRule type="expression" dxfId="7" priority="7">
      <formula>$B66="/"</formula>
    </cfRule>
    <cfRule type="expression" dxfId="6" priority="8">
      <formula>$B66="No evidence required at this submission stage"</formula>
    </cfRule>
  </conditionalFormatting>
  <conditionalFormatting sqref="G62">
    <cfRule type="expression" dxfId="5" priority="5">
      <formula>$B62="/"</formula>
    </cfRule>
    <cfRule type="expression" dxfId="4" priority="6">
      <formula>$B62="No evidence required at this submission stage"</formula>
    </cfRule>
  </conditionalFormatting>
  <conditionalFormatting sqref="G58">
    <cfRule type="expression" dxfId="3" priority="3">
      <formula>$B58="/"</formula>
    </cfRule>
    <cfRule type="expression" dxfId="2" priority="4">
      <formula>$B58="No evidence required at this submission stage"</formula>
    </cfRule>
  </conditionalFormatting>
  <conditionalFormatting sqref="G54">
    <cfRule type="expression" dxfId="1" priority="1">
      <formula>$B54="/"</formula>
    </cfRule>
    <cfRule type="expression" dxfId="0" priority="2">
      <formula>$B54="No evidence required at this submission stage"</formula>
    </cfRule>
  </conditionalFormatting>
  <dataValidations count="2">
    <dataValidation type="list" allowBlank="1" showInputMessage="1" showErrorMessage="1" sqref="G57 G61 G65 G69 G73 G53">
      <formula1>"Select,Submitted,Not submitted"</formula1>
    </dataValidation>
    <dataValidation type="list" allowBlank="1" showInputMessage="1" showErrorMessage="1" sqref="G74 G70 G66 G62 G58 G54">
      <formula1>Sub_FC</formula1>
    </dataValidation>
  </dataValidations>
  <hyperlinks>
    <hyperlink ref="K2" location="'Inn-1 Exceptional Performance '!A1" tooltip="Inn-1" display="Inn-1"/>
    <hyperlink ref="K2:K4" location="'Inn-1 Exceptional Performance '!B3" tooltip="Inn-1" display="Inn-1"/>
  </hyperlinks>
  <pageMargins left="0.7" right="0.7" top="0.75" bottom="0.75" header="0.3" footer="0.3"/>
  <pageSetup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0"/>
  </sheetPr>
  <dimension ref="A1:U238"/>
  <sheetViews>
    <sheetView showRowColHeaders="0" zoomScaleNormal="100" workbookViewId="0">
      <pane ySplit="3" topLeftCell="A4" activePane="bottomLeft" state="frozen"/>
      <selection pane="bottomLeft" activeCell="H35" sqref="H35:P35"/>
    </sheetView>
  </sheetViews>
  <sheetFormatPr defaultColWidth="0" defaultRowHeight="15" customHeight="1" zeroHeight="1" x14ac:dyDescent="0.25"/>
  <cols>
    <col min="1" max="1" width="3.7109375" style="860" customWidth="1"/>
    <col min="2" max="6" width="9.140625" style="860" customWidth="1"/>
    <col min="7" max="7" width="10.7109375" style="860" customWidth="1"/>
    <col min="8" max="11" width="9.140625" style="860" customWidth="1"/>
    <col min="12" max="12" width="21.28515625" style="860" customWidth="1"/>
    <col min="13" max="13" width="9.85546875" style="860" customWidth="1"/>
    <col min="14" max="14" width="8.5703125" style="860" customWidth="1"/>
    <col min="15" max="16" width="21.28515625" style="860" customWidth="1"/>
    <col min="17" max="17" width="9.140625" style="860" customWidth="1"/>
    <col min="18" max="16384" width="9.140625" style="860" hidden="1"/>
  </cols>
  <sheetData>
    <row r="1" spans="1:21" s="734" customFormat="1" ht="30" customHeight="1" x14ac:dyDescent="0.25">
      <c r="A1" s="2489" t="s">
        <v>1426</v>
      </c>
      <c r="B1" s="2489"/>
      <c r="C1" s="2489"/>
      <c r="D1" s="2489"/>
      <c r="E1" s="2489"/>
      <c r="F1" s="2489"/>
      <c r="G1" s="2489"/>
      <c r="H1" s="2489"/>
      <c r="I1" s="2489"/>
      <c r="J1" s="2489"/>
      <c r="K1" s="2489"/>
      <c r="L1" s="2489"/>
      <c r="M1" s="2489"/>
      <c r="N1" s="2489"/>
      <c r="O1" s="2489"/>
      <c r="P1" s="2489"/>
      <c r="Q1" s="2489"/>
      <c r="R1" s="859"/>
      <c r="S1" s="859"/>
      <c r="T1" s="859"/>
      <c r="U1" s="859"/>
    </row>
    <row r="2" spans="1:21" ht="18" customHeight="1" x14ac:dyDescent="0.25">
      <c r="A2" s="2490" t="s">
        <v>1428</v>
      </c>
      <c r="B2" s="2490"/>
      <c r="C2" s="2490"/>
      <c r="D2" s="2490"/>
      <c r="E2" s="2490"/>
      <c r="F2" s="2490"/>
      <c r="G2" s="2490"/>
      <c r="H2" s="2490"/>
      <c r="I2" s="2490"/>
      <c r="J2" s="2490"/>
      <c r="K2" s="2490"/>
      <c r="L2" s="2490"/>
      <c r="M2" s="2490"/>
      <c r="N2" s="2490"/>
      <c r="O2" s="2490"/>
      <c r="P2" s="2490"/>
      <c r="Q2" s="2490"/>
      <c r="R2" s="167"/>
      <c r="S2" s="167"/>
      <c r="T2" s="167"/>
      <c r="U2" s="167"/>
    </row>
    <row r="3" spans="1:21" ht="18" customHeight="1" x14ac:dyDescent="0.25">
      <c r="A3" s="2490"/>
      <c r="B3" s="2490"/>
      <c r="C3" s="2490"/>
      <c r="D3" s="2490"/>
      <c r="E3" s="2490"/>
      <c r="F3" s="2490"/>
      <c r="G3" s="2490"/>
      <c r="H3" s="2490"/>
      <c r="I3" s="2490"/>
      <c r="J3" s="2490"/>
      <c r="K3" s="2490"/>
      <c r="L3" s="2490"/>
      <c r="M3" s="2490"/>
      <c r="N3" s="2490"/>
      <c r="O3" s="2490"/>
      <c r="P3" s="2490"/>
      <c r="Q3" s="2490"/>
      <c r="R3" s="167"/>
      <c r="S3" s="167"/>
      <c r="T3" s="167"/>
      <c r="U3" s="167"/>
    </row>
    <row r="4" spans="1:21" x14ac:dyDescent="0.25">
      <c r="A4" s="167"/>
      <c r="B4" s="169"/>
      <c r="C4" s="167"/>
      <c r="D4" s="167"/>
      <c r="E4" s="167"/>
      <c r="F4" s="167"/>
      <c r="G4" s="167"/>
      <c r="H4" s="167"/>
      <c r="I4" s="167"/>
      <c r="J4" s="167"/>
      <c r="K4" s="167"/>
      <c r="L4" s="167"/>
      <c r="M4" s="167"/>
      <c r="N4" s="167"/>
      <c r="O4" s="167"/>
      <c r="P4" s="167"/>
      <c r="Q4" s="167"/>
      <c r="R4" s="167"/>
      <c r="S4" s="167"/>
      <c r="T4" s="167"/>
      <c r="U4" s="167"/>
    </row>
    <row r="5" spans="1:21" ht="30" customHeight="1" x14ac:dyDescent="0.25">
      <c r="A5" s="167"/>
      <c r="B5" s="861" t="s">
        <v>136</v>
      </c>
      <c r="C5" s="2498" t="s">
        <v>225</v>
      </c>
      <c r="D5" s="2498"/>
      <c r="E5" s="2498"/>
      <c r="F5" s="2498"/>
      <c r="G5" s="862" t="s">
        <v>1427</v>
      </c>
      <c r="H5" s="2499" t="s">
        <v>237</v>
      </c>
      <c r="I5" s="2499"/>
      <c r="J5" s="2499"/>
      <c r="K5" s="2499"/>
      <c r="L5" s="2499"/>
      <c r="M5" s="2499"/>
      <c r="N5" s="2499"/>
      <c r="O5" s="2499"/>
      <c r="P5" s="2500"/>
      <c r="Q5" s="167"/>
      <c r="R5" s="167"/>
      <c r="S5" s="167"/>
      <c r="T5" s="167"/>
      <c r="U5" s="167"/>
    </row>
    <row r="6" spans="1:21" ht="30" customHeight="1" x14ac:dyDescent="0.25">
      <c r="A6" s="167"/>
      <c r="B6" s="863" t="s">
        <v>22</v>
      </c>
      <c r="C6" s="2501" t="s">
        <v>365</v>
      </c>
      <c r="D6" s="2501"/>
      <c r="E6" s="2501"/>
      <c r="F6" s="2502"/>
      <c r="G6" s="877"/>
      <c r="H6" s="2486"/>
      <c r="I6" s="2487"/>
      <c r="J6" s="2487"/>
      <c r="K6" s="2487"/>
      <c r="L6" s="2487"/>
      <c r="M6" s="2487"/>
      <c r="N6" s="2487"/>
      <c r="O6" s="2487"/>
      <c r="P6" s="2488"/>
      <c r="Q6" s="167"/>
      <c r="R6" s="167"/>
      <c r="S6" s="167"/>
      <c r="T6" s="167"/>
      <c r="U6" s="167"/>
    </row>
    <row r="7" spans="1:21" ht="30" customHeight="1" x14ac:dyDescent="0.25">
      <c r="A7" s="167"/>
      <c r="B7" s="864" t="s">
        <v>24</v>
      </c>
      <c r="C7" s="2483" t="s">
        <v>27</v>
      </c>
      <c r="D7" s="2483"/>
      <c r="E7" s="2483" t="s">
        <v>7</v>
      </c>
      <c r="F7" s="2484"/>
      <c r="G7" s="878"/>
      <c r="H7" s="2491"/>
      <c r="I7" s="2492"/>
      <c r="J7" s="2492"/>
      <c r="K7" s="2492"/>
      <c r="L7" s="2492"/>
      <c r="M7" s="2492"/>
      <c r="N7" s="2492"/>
      <c r="O7" s="2492"/>
      <c r="P7" s="2493"/>
      <c r="Q7" s="167"/>
      <c r="R7" s="167"/>
      <c r="S7" s="167"/>
      <c r="T7" s="167"/>
      <c r="U7" s="167"/>
    </row>
    <row r="8" spans="1:21" ht="30" customHeight="1" x14ac:dyDescent="0.25">
      <c r="A8" s="167"/>
      <c r="B8" s="863" t="s">
        <v>224</v>
      </c>
      <c r="C8" s="2483" t="s">
        <v>28</v>
      </c>
      <c r="D8" s="2483"/>
      <c r="E8" s="2483" t="s">
        <v>39</v>
      </c>
      <c r="F8" s="2484"/>
      <c r="G8" s="879"/>
      <c r="H8" s="2486"/>
      <c r="I8" s="2487"/>
      <c r="J8" s="2487"/>
      <c r="K8" s="2487"/>
      <c r="L8" s="2487"/>
      <c r="M8" s="2487"/>
      <c r="N8" s="2487"/>
      <c r="O8" s="2487"/>
      <c r="P8" s="2488"/>
      <c r="Q8" s="167"/>
      <c r="R8" s="167"/>
      <c r="S8" s="167"/>
      <c r="T8" s="167"/>
      <c r="U8" s="167"/>
    </row>
    <row r="9" spans="1:21" ht="30" customHeight="1" x14ac:dyDescent="0.25">
      <c r="A9" s="167"/>
      <c r="B9" s="864" t="s">
        <v>26</v>
      </c>
      <c r="C9" s="2496" t="s">
        <v>299</v>
      </c>
      <c r="D9" s="2496"/>
      <c r="E9" s="2496" t="s">
        <v>63</v>
      </c>
      <c r="F9" s="2497"/>
      <c r="G9" s="880"/>
      <c r="H9" s="2491"/>
      <c r="I9" s="2492"/>
      <c r="J9" s="2492"/>
      <c r="K9" s="2492"/>
      <c r="L9" s="2492"/>
      <c r="M9" s="2492"/>
      <c r="N9" s="2492"/>
      <c r="O9" s="2492"/>
      <c r="P9" s="2493"/>
      <c r="Q9" s="167"/>
      <c r="R9" s="167"/>
      <c r="S9" s="167"/>
      <c r="T9" s="167"/>
      <c r="U9" s="167"/>
    </row>
    <row r="10" spans="1:21" ht="30" customHeight="1" x14ac:dyDescent="0.25">
      <c r="A10" s="167"/>
      <c r="B10" s="865" t="s">
        <v>33</v>
      </c>
      <c r="C10" s="2483" t="s">
        <v>34</v>
      </c>
      <c r="D10" s="2483"/>
      <c r="E10" s="2483" t="s">
        <v>17</v>
      </c>
      <c r="F10" s="2484"/>
      <c r="G10" s="879"/>
      <c r="H10" s="2486"/>
      <c r="I10" s="2487"/>
      <c r="J10" s="2487"/>
      <c r="K10" s="2487"/>
      <c r="L10" s="2487"/>
      <c r="M10" s="2487"/>
      <c r="N10" s="2487"/>
      <c r="O10" s="2487"/>
      <c r="P10" s="2488"/>
      <c r="Q10" s="167"/>
      <c r="R10" s="167"/>
      <c r="S10" s="167"/>
      <c r="T10" s="167"/>
      <c r="U10" s="167"/>
    </row>
    <row r="11" spans="1:21" ht="30" customHeight="1" x14ac:dyDescent="0.25">
      <c r="A11" s="167"/>
      <c r="B11" s="866" t="s">
        <v>36</v>
      </c>
      <c r="C11" s="2483" t="s">
        <v>231</v>
      </c>
      <c r="D11" s="2483"/>
      <c r="E11" s="2483" t="s">
        <v>116</v>
      </c>
      <c r="F11" s="2484"/>
      <c r="G11" s="881"/>
      <c r="H11" s="2491"/>
      <c r="I11" s="2492"/>
      <c r="J11" s="2492"/>
      <c r="K11" s="2492"/>
      <c r="L11" s="2492"/>
      <c r="M11" s="2492"/>
      <c r="N11" s="2492"/>
      <c r="O11" s="2492"/>
      <c r="P11" s="2493"/>
      <c r="Q11" s="167"/>
      <c r="R11" s="167"/>
      <c r="S11" s="167"/>
      <c r="T11" s="167"/>
      <c r="U11" s="167"/>
    </row>
    <row r="12" spans="1:21" ht="30" customHeight="1" x14ac:dyDescent="0.25">
      <c r="A12" s="167"/>
      <c r="B12" s="867" t="s">
        <v>226</v>
      </c>
      <c r="C12" s="2483" t="s">
        <v>311</v>
      </c>
      <c r="D12" s="2483"/>
      <c r="E12" s="2483" t="s">
        <v>181</v>
      </c>
      <c r="F12" s="2484"/>
      <c r="G12" s="879"/>
      <c r="H12" s="2486"/>
      <c r="I12" s="2487"/>
      <c r="J12" s="2487"/>
      <c r="K12" s="2487"/>
      <c r="L12" s="2487"/>
      <c r="M12" s="2487"/>
      <c r="N12" s="2487"/>
      <c r="O12" s="2487"/>
      <c r="P12" s="2488"/>
      <c r="Q12" s="167"/>
      <c r="R12" s="167"/>
      <c r="S12" s="167"/>
      <c r="T12" s="167"/>
      <c r="U12" s="167"/>
    </row>
    <row r="13" spans="1:21" ht="30" customHeight="1" x14ac:dyDescent="0.25">
      <c r="A13" s="167"/>
      <c r="B13" s="868" t="s">
        <v>23</v>
      </c>
      <c r="C13" s="2483" t="s">
        <v>312</v>
      </c>
      <c r="D13" s="2483"/>
      <c r="E13" s="2483" t="s">
        <v>181</v>
      </c>
      <c r="F13" s="2484"/>
      <c r="G13" s="881"/>
      <c r="H13" s="2491"/>
      <c r="I13" s="2492"/>
      <c r="J13" s="2492"/>
      <c r="K13" s="2492"/>
      <c r="L13" s="2492"/>
      <c r="M13" s="2492"/>
      <c r="N13" s="2492"/>
      <c r="O13" s="2492"/>
      <c r="P13" s="2493"/>
      <c r="Q13" s="167"/>
      <c r="R13" s="167"/>
      <c r="S13" s="167"/>
      <c r="T13" s="167"/>
      <c r="U13" s="167"/>
    </row>
    <row r="14" spans="1:21" ht="30" customHeight="1" x14ac:dyDescent="0.25">
      <c r="A14" s="167"/>
      <c r="B14" s="869" t="s">
        <v>340</v>
      </c>
      <c r="C14" s="2483" t="s">
        <v>332</v>
      </c>
      <c r="D14" s="2483"/>
      <c r="E14" s="2483" t="s">
        <v>4</v>
      </c>
      <c r="F14" s="2484"/>
      <c r="G14" s="879"/>
      <c r="H14" s="2486"/>
      <c r="I14" s="2487"/>
      <c r="J14" s="2487"/>
      <c r="K14" s="2487"/>
      <c r="L14" s="2487"/>
      <c r="M14" s="2487"/>
      <c r="N14" s="2487"/>
      <c r="O14" s="2487"/>
      <c r="P14" s="2488"/>
      <c r="Q14" s="167"/>
      <c r="R14" s="167"/>
      <c r="S14" s="167"/>
      <c r="T14" s="167"/>
      <c r="U14" s="167"/>
    </row>
    <row r="15" spans="1:21" ht="30" customHeight="1" x14ac:dyDescent="0.25">
      <c r="A15" s="167"/>
      <c r="B15" s="870" t="s">
        <v>30</v>
      </c>
      <c r="C15" s="2483" t="s">
        <v>31</v>
      </c>
      <c r="D15" s="2483"/>
      <c r="E15" s="2483" t="s">
        <v>4</v>
      </c>
      <c r="F15" s="2484"/>
      <c r="G15" s="879"/>
      <c r="H15" s="2486"/>
      <c r="I15" s="2487"/>
      <c r="J15" s="2487"/>
      <c r="K15" s="2487"/>
      <c r="L15" s="2487"/>
      <c r="M15" s="2487"/>
      <c r="N15" s="2487"/>
      <c r="O15" s="2487"/>
      <c r="P15" s="2488"/>
      <c r="Q15" s="167"/>
      <c r="R15" s="167"/>
      <c r="S15" s="167"/>
      <c r="T15" s="167"/>
      <c r="U15" s="167"/>
    </row>
    <row r="16" spans="1:21" ht="30" customHeight="1" x14ac:dyDescent="0.25">
      <c r="A16" s="167"/>
      <c r="B16" s="869" t="s">
        <v>32</v>
      </c>
      <c r="C16" s="2483" t="s">
        <v>1796</v>
      </c>
      <c r="D16" s="2483"/>
      <c r="E16" s="2483" t="s">
        <v>5</v>
      </c>
      <c r="F16" s="2484"/>
      <c r="G16" s="881"/>
      <c r="H16" s="2491"/>
      <c r="I16" s="2492"/>
      <c r="J16" s="2492"/>
      <c r="K16" s="2492"/>
      <c r="L16" s="2492"/>
      <c r="M16" s="2492"/>
      <c r="N16" s="2492"/>
      <c r="O16" s="2492"/>
      <c r="P16" s="2493"/>
      <c r="Q16" s="167"/>
      <c r="R16" s="167"/>
      <c r="S16" s="167"/>
      <c r="T16" s="167"/>
      <c r="U16" s="167"/>
    </row>
    <row r="17" spans="1:21" ht="30" customHeight="1" x14ac:dyDescent="0.25">
      <c r="A17" s="167"/>
      <c r="B17" s="870" t="s">
        <v>35</v>
      </c>
      <c r="C17" s="2483" t="s">
        <v>1207</v>
      </c>
      <c r="D17" s="2483"/>
      <c r="E17" s="2483" t="s">
        <v>6</v>
      </c>
      <c r="F17" s="2484"/>
      <c r="G17" s="879"/>
      <c r="H17" s="2486"/>
      <c r="I17" s="2487"/>
      <c r="J17" s="2487"/>
      <c r="K17" s="2487"/>
      <c r="L17" s="2487"/>
      <c r="M17" s="2487"/>
      <c r="N17" s="2487"/>
      <c r="O17" s="2487"/>
      <c r="P17" s="2488"/>
      <c r="Q17" s="167"/>
      <c r="R17" s="167"/>
      <c r="S17" s="167"/>
      <c r="T17" s="167"/>
      <c r="U17" s="167"/>
    </row>
    <row r="18" spans="1:21" ht="30" customHeight="1" x14ac:dyDescent="0.25">
      <c r="A18" s="167"/>
      <c r="B18" s="871" t="s">
        <v>37</v>
      </c>
      <c r="C18" s="2483" t="s">
        <v>1797</v>
      </c>
      <c r="D18" s="2483"/>
      <c r="E18" s="2483" t="s">
        <v>68</v>
      </c>
      <c r="F18" s="2484"/>
      <c r="G18" s="881"/>
      <c r="H18" s="2491"/>
      <c r="I18" s="2492"/>
      <c r="J18" s="2492"/>
      <c r="K18" s="2492"/>
      <c r="L18" s="2492"/>
      <c r="M18" s="2492"/>
      <c r="N18" s="2492"/>
      <c r="O18" s="2492"/>
      <c r="P18" s="2493"/>
      <c r="Q18" s="167"/>
      <c r="R18" s="167"/>
      <c r="S18" s="167"/>
      <c r="T18" s="167"/>
      <c r="U18" s="167"/>
    </row>
    <row r="19" spans="1:21" ht="30" customHeight="1" x14ac:dyDescent="0.25">
      <c r="A19" s="167"/>
      <c r="B19" s="871" t="s">
        <v>248</v>
      </c>
      <c r="C19" s="2483" t="s">
        <v>337</v>
      </c>
      <c r="D19" s="2483"/>
      <c r="E19" s="2483" t="s">
        <v>68</v>
      </c>
      <c r="F19" s="2484"/>
      <c r="G19" s="882"/>
      <c r="H19" s="2486"/>
      <c r="I19" s="2487"/>
      <c r="J19" s="2487"/>
      <c r="K19" s="2487"/>
      <c r="L19" s="2487"/>
      <c r="M19" s="2487"/>
      <c r="N19" s="2487"/>
      <c r="O19" s="2487"/>
      <c r="P19" s="2488"/>
      <c r="Q19" s="167"/>
      <c r="R19" s="167"/>
      <c r="S19" s="167"/>
      <c r="T19" s="167"/>
      <c r="U19" s="167"/>
    </row>
    <row r="20" spans="1:21" ht="30" customHeight="1" x14ac:dyDescent="0.25">
      <c r="A20" s="167"/>
      <c r="B20" s="871" t="s">
        <v>313</v>
      </c>
      <c r="C20" s="2483" t="s">
        <v>1790</v>
      </c>
      <c r="D20" s="2483"/>
      <c r="E20" s="2483" t="s">
        <v>68</v>
      </c>
      <c r="F20" s="2484"/>
      <c r="G20" s="882"/>
      <c r="H20" s="2486"/>
      <c r="I20" s="2487"/>
      <c r="J20" s="2487"/>
      <c r="K20" s="2487"/>
      <c r="L20" s="2487"/>
      <c r="M20" s="2487"/>
      <c r="N20" s="2487"/>
      <c r="O20" s="2487"/>
      <c r="P20" s="2488"/>
      <c r="Q20" s="167"/>
      <c r="R20" s="167"/>
      <c r="S20" s="167"/>
      <c r="T20" s="167"/>
      <c r="U20" s="167"/>
    </row>
    <row r="21" spans="1:21" ht="30" customHeight="1" x14ac:dyDescent="0.25">
      <c r="A21" s="167"/>
      <c r="B21" s="871" t="s">
        <v>314</v>
      </c>
      <c r="C21" s="2483" t="s">
        <v>38</v>
      </c>
      <c r="D21" s="2483"/>
      <c r="E21" s="2483" t="s">
        <v>68</v>
      </c>
      <c r="F21" s="2484"/>
      <c r="G21" s="882"/>
      <c r="H21" s="2486"/>
      <c r="I21" s="2487"/>
      <c r="J21" s="2487"/>
      <c r="K21" s="2487"/>
      <c r="L21" s="2487"/>
      <c r="M21" s="2487"/>
      <c r="N21" s="2487"/>
      <c r="O21" s="2487"/>
      <c r="P21" s="2488"/>
      <c r="Q21" s="167"/>
      <c r="R21" s="167"/>
      <c r="S21" s="167"/>
      <c r="T21" s="167"/>
      <c r="U21" s="167"/>
    </row>
    <row r="22" spans="1:21" ht="30" customHeight="1" x14ac:dyDescent="0.25">
      <c r="A22" s="167"/>
      <c r="B22" s="871" t="s">
        <v>315</v>
      </c>
      <c r="C22" s="2483" t="s">
        <v>334</v>
      </c>
      <c r="D22" s="2483"/>
      <c r="E22" s="2483" t="s">
        <v>68</v>
      </c>
      <c r="F22" s="2484"/>
      <c r="G22" s="882"/>
      <c r="H22" s="2486"/>
      <c r="I22" s="2487"/>
      <c r="J22" s="2487"/>
      <c r="K22" s="2487"/>
      <c r="L22" s="2487"/>
      <c r="M22" s="2487"/>
      <c r="N22" s="2487"/>
      <c r="O22" s="2487"/>
      <c r="P22" s="2488"/>
      <c r="Q22" s="167"/>
      <c r="R22" s="167"/>
      <c r="S22" s="167"/>
      <c r="T22" s="167"/>
      <c r="U22" s="167"/>
    </row>
    <row r="23" spans="1:21" ht="30" customHeight="1" x14ac:dyDescent="0.25">
      <c r="A23" s="167"/>
      <c r="B23" s="871" t="s">
        <v>316</v>
      </c>
      <c r="C23" s="2483" t="s">
        <v>850</v>
      </c>
      <c r="D23" s="2483"/>
      <c r="E23" s="2483" t="s">
        <v>68</v>
      </c>
      <c r="F23" s="2484"/>
      <c r="G23" s="882"/>
      <c r="H23" s="2486"/>
      <c r="I23" s="2487"/>
      <c r="J23" s="2487"/>
      <c r="K23" s="2487"/>
      <c r="L23" s="2487"/>
      <c r="M23" s="2487"/>
      <c r="N23" s="2487"/>
      <c r="O23" s="2487"/>
      <c r="P23" s="2488"/>
      <c r="Q23" s="167"/>
      <c r="R23" s="167"/>
      <c r="S23" s="167"/>
      <c r="T23" s="167"/>
      <c r="U23" s="167"/>
    </row>
    <row r="24" spans="1:21" ht="30" customHeight="1" x14ac:dyDescent="0.25">
      <c r="A24" s="167"/>
      <c r="B24" s="871" t="s">
        <v>317</v>
      </c>
      <c r="C24" s="2483" t="s">
        <v>842</v>
      </c>
      <c r="D24" s="2483"/>
      <c r="E24" s="2483" t="s">
        <v>68</v>
      </c>
      <c r="F24" s="2484"/>
      <c r="G24" s="1020"/>
      <c r="H24" s="987"/>
      <c r="I24" s="988"/>
      <c r="J24" s="988"/>
      <c r="K24" s="988"/>
      <c r="L24" s="988"/>
      <c r="M24" s="988"/>
      <c r="N24" s="988"/>
      <c r="O24" s="988"/>
      <c r="P24" s="989"/>
      <c r="Q24" s="167"/>
      <c r="R24" s="167"/>
      <c r="S24" s="167"/>
      <c r="T24" s="167"/>
      <c r="U24" s="167"/>
    </row>
    <row r="25" spans="1:21" ht="30" customHeight="1" x14ac:dyDescent="0.25">
      <c r="A25" s="167"/>
      <c r="B25" s="1050" t="s">
        <v>318</v>
      </c>
      <c r="C25" s="2483" t="s">
        <v>249</v>
      </c>
      <c r="D25" s="2483"/>
      <c r="E25" s="2483" t="s">
        <v>68</v>
      </c>
      <c r="F25" s="2484"/>
      <c r="G25" s="1020"/>
      <c r="H25" s="987"/>
      <c r="I25" s="988"/>
      <c r="J25" s="988"/>
      <c r="K25" s="988"/>
      <c r="L25" s="988"/>
      <c r="M25" s="988"/>
      <c r="N25" s="988"/>
      <c r="O25" s="988"/>
      <c r="P25" s="989"/>
      <c r="Q25" s="167"/>
      <c r="R25" s="167"/>
      <c r="S25" s="167"/>
      <c r="T25" s="167"/>
      <c r="U25" s="167"/>
    </row>
    <row r="26" spans="1:21" ht="30" customHeight="1" x14ac:dyDescent="0.25">
      <c r="A26" s="167"/>
      <c r="B26" s="1052" t="s">
        <v>319</v>
      </c>
      <c r="C26" s="2483" t="s">
        <v>1791</v>
      </c>
      <c r="D26" s="2483"/>
      <c r="E26" s="2483"/>
      <c r="F26" s="2484"/>
      <c r="G26" s="881"/>
      <c r="H26" s="2486"/>
      <c r="I26" s="2487"/>
      <c r="J26" s="2487"/>
      <c r="K26" s="2487"/>
      <c r="L26" s="2487"/>
      <c r="M26" s="2487"/>
      <c r="N26" s="2487"/>
      <c r="O26" s="2487"/>
      <c r="P26" s="2488"/>
      <c r="Q26" s="167"/>
      <c r="R26" s="167"/>
      <c r="S26" s="167"/>
      <c r="T26" s="167"/>
      <c r="U26" s="167"/>
    </row>
    <row r="27" spans="1:21" ht="30" customHeight="1" x14ac:dyDescent="0.25">
      <c r="A27" s="167"/>
      <c r="B27" s="1053" t="s">
        <v>345</v>
      </c>
      <c r="C27" s="2483" t="s">
        <v>1792</v>
      </c>
      <c r="D27" s="2483"/>
      <c r="E27" s="2483"/>
      <c r="F27" s="2484"/>
      <c r="G27" s="879"/>
      <c r="H27" s="2486"/>
      <c r="I27" s="2487"/>
      <c r="J27" s="2487"/>
      <c r="K27" s="2487"/>
      <c r="L27" s="2487"/>
      <c r="M27" s="2487"/>
      <c r="N27" s="2487"/>
      <c r="O27" s="2487"/>
      <c r="P27" s="2488"/>
      <c r="Q27" s="167"/>
      <c r="R27" s="167"/>
      <c r="S27" s="167"/>
      <c r="T27" s="167"/>
      <c r="U27" s="167"/>
    </row>
    <row r="28" spans="1:21" ht="30" customHeight="1" x14ac:dyDescent="0.25">
      <c r="A28" s="167"/>
      <c r="B28" s="1053" t="s">
        <v>346</v>
      </c>
      <c r="C28" s="2483" t="s">
        <v>1793</v>
      </c>
      <c r="D28" s="2483"/>
      <c r="E28" s="2483"/>
      <c r="F28" s="2484"/>
      <c r="G28" s="881"/>
      <c r="H28" s="2486"/>
      <c r="I28" s="2487"/>
      <c r="J28" s="2487"/>
      <c r="K28" s="2487"/>
      <c r="L28" s="2487"/>
      <c r="M28" s="2487"/>
      <c r="N28" s="2487"/>
      <c r="O28" s="2487"/>
      <c r="P28" s="2488"/>
      <c r="Q28" s="167"/>
      <c r="R28" s="167"/>
      <c r="S28" s="167"/>
      <c r="T28" s="167"/>
      <c r="U28" s="167"/>
    </row>
    <row r="29" spans="1:21" ht="30" customHeight="1" x14ac:dyDescent="0.25">
      <c r="A29" s="167"/>
      <c r="B29" s="1053" t="s">
        <v>347</v>
      </c>
      <c r="C29" s="2483" t="s">
        <v>1794</v>
      </c>
      <c r="D29" s="2483"/>
      <c r="E29" s="2483"/>
      <c r="F29" s="2484"/>
      <c r="G29" s="879"/>
      <c r="H29" s="2486"/>
      <c r="I29" s="2487"/>
      <c r="J29" s="2487"/>
      <c r="K29" s="2487"/>
      <c r="L29" s="2487"/>
      <c r="M29" s="2487"/>
      <c r="N29" s="2487"/>
      <c r="O29" s="2487"/>
      <c r="P29" s="2488"/>
      <c r="Q29" s="167"/>
      <c r="R29" s="167"/>
      <c r="S29" s="167"/>
      <c r="T29" s="167"/>
      <c r="U29" s="167"/>
    </row>
    <row r="30" spans="1:21" ht="30" customHeight="1" x14ac:dyDescent="0.25">
      <c r="A30" s="167"/>
      <c r="B30" s="1053" t="s">
        <v>348</v>
      </c>
      <c r="C30" s="2483" t="s">
        <v>1795</v>
      </c>
      <c r="D30" s="2483"/>
      <c r="E30" s="2483" t="s">
        <v>1</v>
      </c>
      <c r="F30" s="2484"/>
      <c r="G30" s="881"/>
      <c r="H30" s="2491"/>
      <c r="I30" s="2492"/>
      <c r="J30" s="2492"/>
      <c r="K30" s="2492"/>
      <c r="L30" s="2492"/>
      <c r="M30" s="2492"/>
      <c r="N30" s="2492"/>
      <c r="O30" s="2492"/>
      <c r="P30" s="2493"/>
      <c r="Q30" s="167"/>
      <c r="R30" s="167"/>
      <c r="S30" s="167"/>
      <c r="T30" s="167"/>
      <c r="U30" s="167"/>
    </row>
    <row r="31" spans="1:21" ht="30" customHeight="1" x14ac:dyDescent="0.25">
      <c r="A31" s="167"/>
      <c r="B31" s="1054" t="s">
        <v>323</v>
      </c>
      <c r="C31" s="2483" t="s">
        <v>322</v>
      </c>
      <c r="D31" s="2483"/>
      <c r="E31" s="2483" t="s">
        <v>71</v>
      </c>
      <c r="F31" s="2484"/>
      <c r="G31" s="881"/>
      <c r="H31" s="2491"/>
      <c r="I31" s="2492"/>
      <c r="J31" s="2492"/>
      <c r="K31" s="2492"/>
      <c r="L31" s="2492"/>
      <c r="M31" s="2492"/>
      <c r="N31" s="2492"/>
      <c r="O31" s="2492"/>
      <c r="P31" s="2493"/>
      <c r="Q31" s="167"/>
      <c r="R31" s="167"/>
      <c r="S31" s="167"/>
      <c r="T31" s="167"/>
      <c r="U31" s="167"/>
    </row>
    <row r="32" spans="1:21" ht="30" customHeight="1" x14ac:dyDescent="0.25">
      <c r="A32" s="167"/>
      <c r="B32" s="1051" t="s">
        <v>324</v>
      </c>
      <c r="C32" s="2483" t="s">
        <v>327</v>
      </c>
      <c r="D32" s="2483"/>
      <c r="E32" s="2483" t="s">
        <v>70</v>
      </c>
      <c r="F32" s="2484"/>
      <c r="G32" s="879"/>
      <c r="H32" s="2486"/>
      <c r="I32" s="2487"/>
      <c r="J32" s="2487"/>
      <c r="K32" s="2487"/>
      <c r="L32" s="2487"/>
      <c r="M32" s="2487"/>
      <c r="N32" s="2487"/>
      <c r="O32" s="2487"/>
      <c r="P32" s="2488"/>
      <c r="Q32" s="167"/>
      <c r="R32" s="167"/>
      <c r="S32" s="167"/>
      <c r="T32" s="167"/>
      <c r="U32" s="167"/>
    </row>
    <row r="33" spans="1:21" ht="30" customHeight="1" x14ac:dyDescent="0.25">
      <c r="A33" s="167"/>
      <c r="B33" s="872" t="s">
        <v>325</v>
      </c>
      <c r="C33" s="2483" t="s">
        <v>328</v>
      </c>
      <c r="D33" s="2483"/>
      <c r="E33" s="2483" t="s">
        <v>69</v>
      </c>
      <c r="F33" s="2484"/>
      <c r="G33" s="881"/>
      <c r="H33" s="2491"/>
      <c r="I33" s="2492"/>
      <c r="J33" s="2492"/>
      <c r="K33" s="2492"/>
      <c r="L33" s="2492"/>
      <c r="M33" s="2492"/>
      <c r="N33" s="2492"/>
      <c r="O33" s="2492"/>
      <c r="P33" s="2493"/>
      <c r="Q33" s="167"/>
      <c r="R33" s="167"/>
      <c r="S33" s="167"/>
      <c r="T33" s="167"/>
      <c r="U33" s="167"/>
    </row>
    <row r="34" spans="1:21" ht="30" customHeight="1" x14ac:dyDescent="0.25">
      <c r="A34" s="167"/>
      <c r="B34" s="872" t="s">
        <v>326</v>
      </c>
      <c r="C34" s="2483" t="s">
        <v>329</v>
      </c>
      <c r="D34" s="2483"/>
      <c r="E34" s="2483" t="s">
        <v>138</v>
      </c>
      <c r="F34" s="2484"/>
      <c r="G34" s="881"/>
      <c r="H34" s="990"/>
      <c r="I34" s="991"/>
      <c r="J34" s="991"/>
      <c r="K34" s="991"/>
      <c r="L34" s="991"/>
      <c r="M34" s="991"/>
      <c r="N34" s="991"/>
      <c r="O34" s="991"/>
      <c r="P34" s="992"/>
      <c r="Q34" s="167"/>
      <c r="R34" s="167"/>
      <c r="S34" s="167"/>
      <c r="T34" s="167"/>
      <c r="U34" s="167"/>
    </row>
    <row r="35" spans="1:21" ht="30" customHeight="1" x14ac:dyDescent="0.25">
      <c r="A35" s="167"/>
      <c r="B35" s="872" t="s">
        <v>330</v>
      </c>
      <c r="C35" s="2483" t="s">
        <v>331</v>
      </c>
      <c r="D35" s="2483"/>
      <c r="E35" s="2483" t="s">
        <v>138</v>
      </c>
      <c r="F35" s="2484"/>
      <c r="G35" s="879"/>
      <c r="H35" s="2486"/>
      <c r="I35" s="2487"/>
      <c r="J35" s="2487"/>
      <c r="K35" s="2487"/>
      <c r="L35" s="2487"/>
      <c r="M35" s="2487"/>
      <c r="N35" s="2487"/>
      <c r="O35" s="2487"/>
      <c r="P35" s="2488"/>
      <c r="Q35" s="167"/>
      <c r="R35" s="167"/>
      <c r="S35" s="167"/>
      <c r="T35" s="167"/>
      <c r="U35" s="167"/>
    </row>
    <row r="36" spans="1:21" ht="30" customHeight="1" x14ac:dyDescent="0.25">
      <c r="A36" s="873"/>
      <c r="B36" s="874" t="s">
        <v>41</v>
      </c>
      <c r="C36" s="2494" t="s">
        <v>228</v>
      </c>
      <c r="D36" s="2494"/>
      <c r="E36" s="2494"/>
      <c r="F36" s="2495"/>
      <c r="G36" s="883"/>
      <c r="H36" s="2491"/>
      <c r="I36" s="2492"/>
      <c r="J36" s="2492"/>
      <c r="K36" s="2492"/>
      <c r="L36" s="2492"/>
      <c r="M36" s="2492"/>
      <c r="N36" s="2492"/>
      <c r="O36" s="2492"/>
      <c r="P36" s="2493"/>
      <c r="Q36" s="167"/>
      <c r="R36" s="167"/>
      <c r="S36" s="167"/>
      <c r="T36" s="167"/>
      <c r="U36" s="167"/>
    </row>
    <row r="37" spans="1:21" ht="30" customHeight="1" x14ac:dyDescent="0.25">
      <c r="A37" s="167"/>
      <c r="B37" s="875" t="s">
        <v>44</v>
      </c>
      <c r="C37" s="2485" t="s">
        <v>229</v>
      </c>
      <c r="D37" s="2483"/>
      <c r="E37" s="2483"/>
      <c r="F37" s="2484"/>
      <c r="G37" s="882"/>
      <c r="H37" s="2486"/>
      <c r="I37" s="2487"/>
      <c r="J37" s="2487"/>
      <c r="K37" s="2487"/>
      <c r="L37" s="2487"/>
      <c r="M37" s="2487"/>
      <c r="N37" s="2487"/>
      <c r="O37" s="2487"/>
      <c r="P37" s="2488"/>
      <c r="Q37" s="167"/>
      <c r="R37" s="167"/>
      <c r="S37" s="167"/>
      <c r="T37" s="167"/>
      <c r="U37" s="167"/>
    </row>
    <row r="38" spans="1:21" ht="30" customHeight="1" x14ac:dyDescent="0.25">
      <c r="A38" s="167"/>
      <c r="B38" s="876"/>
      <c r="C38" s="167"/>
      <c r="D38" s="167"/>
      <c r="E38" s="167"/>
      <c r="F38" s="167"/>
      <c r="G38" s="884">
        <f>SUM(G6:G37)</f>
        <v>0</v>
      </c>
      <c r="H38" s="167"/>
      <c r="I38" s="167"/>
      <c r="J38" s="167"/>
      <c r="K38" s="167"/>
      <c r="L38" s="167"/>
      <c r="M38" s="167"/>
      <c r="N38" s="167"/>
      <c r="O38" s="167"/>
      <c r="P38" s="167"/>
      <c r="Q38" s="167"/>
      <c r="R38" s="167"/>
      <c r="S38" s="167"/>
      <c r="T38" s="167"/>
      <c r="U38" s="167"/>
    </row>
    <row r="39" spans="1:21" ht="18.75" customHeight="1" x14ac:dyDescent="0.25">
      <c r="A39" s="167"/>
      <c r="B39" s="876"/>
      <c r="C39" s="167"/>
      <c r="D39" s="167"/>
      <c r="E39" s="167"/>
      <c r="F39" s="167"/>
      <c r="G39" s="167"/>
      <c r="H39" s="167"/>
      <c r="I39" s="167"/>
      <c r="J39" s="167"/>
      <c r="K39" s="167"/>
      <c r="L39" s="167"/>
      <c r="M39" s="167"/>
      <c r="N39" s="167"/>
      <c r="O39" s="167"/>
      <c r="P39" s="167"/>
      <c r="Q39" s="167"/>
      <c r="R39" s="167"/>
      <c r="S39" s="167"/>
      <c r="T39" s="167"/>
      <c r="U39" s="167"/>
    </row>
    <row r="40" spans="1:21" ht="15.75" hidden="1" x14ac:dyDescent="0.25">
      <c r="B40" s="876"/>
      <c r="C40" s="167"/>
      <c r="D40" s="167"/>
      <c r="E40" s="167"/>
      <c r="F40" s="167"/>
      <c r="G40" s="167"/>
      <c r="H40" s="167"/>
      <c r="I40" s="167"/>
      <c r="J40" s="167"/>
      <c r="K40" s="167"/>
      <c r="L40" s="167"/>
      <c r="M40" s="167"/>
      <c r="N40" s="167"/>
      <c r="O40" s="167"/>
      <c r="P40" s="167"/>
      <c r="Q40" s="167"/>
      <c r="R40" s="167"/>
      <c r="S40" s="167"/>
      <c r="T40" s="167"/>
      <c r="U40" s="167"/>
    </row>
    <row r="41" spans="1:21" ht="15.75" hidden="1" x14ac:dyDescent="0.25">
      <c r="B41" s="876"/>
      <c r="C41" s="167"/>
      <c r="D41" s="167"/>
      <c r="E41" s="167"/>
      <c r="F41" s="167"/>
      <c r="G41" s="167"/>
      <c r="H41" s="167"/>
      <c r="I41" s="167"/>
      <c r="J41" s="167"/>
      <c r="K41" s="167"/>
      <c r="L41" s="167"/>
      <c r="M41" s="167"/>
      <c r="N41" s="167"/>
      <c r="O41" s="167"/>
      <c r="P41" s="167"/>
      <c r="Q41" s="167"/>
      <c r="R41" s="167"/>
      <c r="S41" s="167"/>
      <c r="T41" s="167"/>
      <c r="U41" s="167"/>
    </row>
    <row r="42" spans="1:21" ht="15.75" hidden="1" x14ac:dyDescent="0.25">
      <c r="B42" s="876"/>
      <c r="C42" s="167"/>
      <c r="D42" s="167"/>
      <c r="E42" s="167"/>
      <c r="F42" s="167"/>
      <c r="G42" s="167"/>
      <c r="H42" s="167"/>
      <c r="I42" s="167"/>
      <c r="J42" s="167"/>
      <c r="K42" s="167"/>
      <c r="L42" s="167"/>
      <c r="M42" s="167"/>
      <c r="N42" s="167"/>
      <c r="O42" s="167"/>
      <c r="P42" s="167"/>
      <c r="Q42" s="167"/>
      <c r="R42" s="167"/>
      <c r="S42" s="167"/>
      <c r="T42" s="167"/>
      <c r="U42" s="167"/>
    </row>
    <row r="43" spans="1:21" ht="15.75" hidden="1" x14ac:dyDescent="0.25">
      <c r="B43" s="876"/>
      <c r="C43" s="167"/>
      <c r="D43" s="167"/>
      <c r="E43" s="167"/>
      <c r="F43" s="167"/>
      <c r="G43" s="167"/>
      <c r="H43" s="167"/>
      <c r="I43" s="167"/>
      <c r="J43" s="167"/>
      <c r="K43" s="167"/>
      <c r="L43" s="167"/>
      <c r="M43" s="167"/>
      <c r="N43" s="167"/>
      <c r="O43" s="167"/>
      <c r="P43" s="167"/>
      <c r="Q43" s="167"/>
      <c r="R43" s="167"/>
      <c r="S43" s="167"/>
      <c r="T43" s="167"/>
      <c r="U43" s="167"/>
    </row>
    <row r="44" spans="1:21" ht="15.75" hidden="1" x14ac:dyDescent="0.25">
      <c r="B44" s="876"/>
      <c r="C44" s="167"/>
      <c r="D44" s="167"/>
      <c r="E44" s="167"/>
      <c r="F44" s="167"/>
      <c r="G44" s="167"/>
      <c r="H44" s="167"/>
      <c r="I44" s="167"/>
      <c r="J44" s="167"/>
      <c r="K44" s="167"/>
      <c r="L44" s="167"/>
      <c r="M44" s="167"/>
      <c r="N44" s="167"/>
      <c r="O44" s="167"/>
      <c r="P44" s="167"/>
      <c r="Q44" s="167"/>
      <c r="R44" s="167"/>
      <c r="S44" s="167"/>
      <c r="T44" s="167"/>
      <c r="U44" s="167"/>
    </row>
    <row r="45" spans="1:21" ht="15.75" hidden="1" x14ac:dyDescent="0.25">
      <c r="B45" s="876"/>
      <c r="C45" s="167"/>
      <c r="D45" s="167"/>
      <c r="E45" s="167"/>
      <c r="F45" s="167"/>
      <c r="G45" s="167"/>
      <c r="H45" s="167"/>
      <c r="I45" s="167"/>
      <c r="J45" s="167"/>
      <c r="K45" s="167"/>
      <c r="L45" s="167"/>
      <c r="M45" s="167"/>
      <c r="N45" s="167"/>
      <c r="O45" s="167"/>
      <c r="P45" s="167"/>
      <c r="Q45" s="167"/>
      <c r="R45" s="167"/>
      <c r="S45" s="167"/>
      <c r="T45" s="167"/>
      <c r="U45" s="167"/>
    </row>
    <row r="46" spans="1:21" ht="15.75" hidden="1" x14ac:dyDescent="0.25">
      <c r="B46" s="876"/>
      <c r="C46" s="167"/>
      <c r="D46" s="167"/>
      <c r="E46" s="167"/>
      <c r="F46" s="167"/>
      <c r="G46" s="167"/>
      <c r="H46" s="167"/>
      <c r="I46" s="167"/>
      <c r="J46" s="167"/>
      <c r="K46" s="167"/>
      <c r="L46" s="167"/>
      <c r="M46" s="167"/>
      <c r="N46" s="167"/>
      <c r="O46" s="167"/>
      <c r="P46" s="167"/>
      <c r="Q46" s="167"/>
      <c r="R46" s="167"/>
      <c r="S46" s="167"/>
      <c r="T46" s="167"/>
      <c r="U46" s="167"/>
    </row>
    <row r="47" spans="1:21" ht="15.75" hidden="1" x14ac:dyDescent="0.25">
      <c r="B47" s="876"/>
      <c r="C47" s="167"/>
      <c r="D47" s="167"/>
      <c r="E47" s="167"/>
      <c r="F47" s="167"/>
      <c r="G47" s="167"/>
      <c r="H47" s="167"/>
      <c r="I47" s="167"/>
      <c r="J47" s="167"/>
      <c r="K47" s="167"/>
      <c r="L47" s="167"/>
      <c r="M47" s="167"/>
      <c r="N47" s="167"/>
      <c r="O47" s="167"/>
      <c r="P47" s="167"/>
      <c r="Q47" s="167"/>
      <c r="R47" s="167"/>
      <c r="S47" s="167"/>
      <c r="T47" s="167"/>
      <c r="U47" s="167"/>
    </row>
    <row r="48" spans="1:21" ht="15.75" hidden="1" x14ac:dyDescent="0.25">
      <c r="B48" s="876"/>
      <c r="C48" s="167"/>
      <c r="D48" s="167"/>
      <c r="E48" s="167"/>
      <c r="F48" s="167"/>
      <c r="G48" s="167"/>
      <c r="H48" s="167"/>
      <c r="I48" s="167"/>
      <c r="J48" s="167"/>
      <c r="K48" s="167"/>
      <c r="L48" s="167"/>
      <c r="M48" s="167"/>
      <c r="N48" s="167"/>
      <c r="O48" s="167"/>
      <c r="P48" s="167"/>
      <c r="Q48" s="167"/>
      <c r="R48" s="167"/>
      <c r="S48" s="167"/>
      <c r="T48" s="167"/>
      <c r="U48" s="167"/>
    </row>
    <row r="49" spans="2:21" ht="15.75" hidden="1" x14ac:dyDescent="0.25">
      <c r="B49" s="876"/>
      <c r="C49" s="167"/>
      <c r="D49" s="167"/>
      <c r="E49" s="167"/>
      <c r="F49" s="167"/>
      <c r="G49" s="167"/>
      <c r="H49" s="167"/>
      <c r="I49" s="167"/>
      <c r="J49" s="167"/>
      <c r="K49" s="167"/>
      <c r="L49" s="167"/>
      <c r="M49" s="167"/>
      <c r="N49" s="167"/>
      <c r="O49" s="167"/>
      <c r="P49" s="167"/>
      <c r="Q49" s="167"/>
      <c r="R49" s="167"/>
      <c r="S49" s="167"/>
      <c r="T49" s="167"/>
      <c r="U49" s="167"/>
    </row>
    <row r="50" spans="2:21" ht="15.75" hidden="1" x14ac:dyDescent="0.25">
      <c r="B50" s="876"/>
      <c r="C50" s="167"/>
      <c r="D50" s="167"/>
      <c r="E50" s="167"/>
      <c r="F50" s="167"/>
      <c r="G50" s="167"/>
      <c r="H50" s="167"/>
      <c r="I50" s="167"/>
      <c r="J50" s="167"/>
      <c r="K50" s="167"/>
      <c r="L50" s="167"/>
      <c r="M50" s="167"/>
      <c r="N50" s="167"/>
      <c r="O50" s="167"/>
      <c r="P50" s="167"/>
      <c r="Q50" s="167"/>
      <c r="R50" s="167"/>
      <c r="S50" s="167"/>
      <c r="T50" s="167"/>
      <c r="U50" s="167"/>
    </row>
    <row r="51" spans="2:21" ht="15.75" hidden="1" x14ac:dyDescent="0.25">
      <c r="B51" s="876"/>
      <c r="C51" s="167"/>
      <c r="D51" s="167"/>
      <c r="E51" s="167"/>
      <c r="F51" s="167"/>
      <c r="G51" s="167"/>
      <c r="H51" s="167"/>
      <c r="I51" s="167"/>
      <c r="J51" s="167"/>
      <c r="K51" s="167"/>
      <c r="L51" s="167"/>
      <c r="M51" s="167"/>
      <c r="N51" s="167"/>
      <c r="O51" s="167"/>
      <c r="P51" s="167"/>
      <c r="Q51" s="167"/>
      <c r="R51" s="167"/>
      <c r="S51" s="167"/>
      <c r="T51" s="167"/>
      <c r="U51" s="167"/>
    </row>
    <row r="52" spans="2:21" ht="15.75" hidden="1" x14ac:dyDescent="0.25">
      <c r="B52" s="876"/>
      <c r="C52" s="167"/>
      <c r="D52" s="167"/>
      <c r="E52" s="167"/>
      <c r="F52" s="167"/>
      <c r="G52" s="167"/>
      <c r="H52" s="167"/>
      <c r="I52" s="167"/>
      <c r="J52" s="167"/>
      <c r="K52" s="167"/>
      <c r="L52" s="167"/>
      <c r="M52" s="167"/>
      <c r="N52" s="167"/>
      <c r="O52" s="167"/>
      <c r="P52" s="167"/>
      <c r="Q52" s="167"/>
      <c r="R52" s="167"/>
      <c r="S52" s="167"/>
      <c r="T52" s="167"/>
      <c r="U52" s="167"/>
    </row>
    <row r="53" spans="2:21" ht="15.75" hidden="1" x14ac:dyDescent="0.25">
      <c r="B53" s="876"/>
      <c r="C53" s="167"/>
      <c r="D53" s="167"/>
      <c r="E53" s="167"/>
      <c r="F53" s="167"/>
      <c r="G53" s="167"/>
      <c r="H53" s="167"/>
      <c r="I53" s="167"/>
      <c r="J53" s="167"/>
      <c r="K53" s="167"/>
      <c r="L53" s="167"/>
      <c r="M53" s="167"/>
      <c r="N53" s="167"/>
      <c r="O53" s="167"/>
      <c r="P53" s="167"/>
      <c r="Q53" s="167"/>
      <c r="R53" s="167"/>
      <c r="S53" s="167"/>
      <c r="T53" s="167"/>
      <c r="U53" s="167"/>
    </row>
    <row r="54" spans="2:21" ht="15.75" hidden="1" x14ac:dyDescent="0.25">
      <c r="B54" s="876"/>
      <c r="C54" s="167"/>
      <c r="D54" s="167"/>
      <c r="E54" s="167"/>
      <c r="F54" s="167"/>
      <c r="G54" s="167"/>
      <c r="H54" s="167"/>
      <c r="I54" s="167"/>
      <c r="J54" s="167"/>
      <c r="K54" s="167"/>
      <c r="L54" s="167"/>
      <c r="M54" s="167"/>
      <c r="N54" s="167"/>
      <c r="O54" s="167"/>
      <c r="P54" s="167"/>
      <c r="Q54" s="167"/>
      <c r="R54" s="167"/>
      <c r="S54" s="167"/>
      <c r="T54" s="167"/>
      <c r="U54" s="167"/>
    </row>
    <row r="55" spans="2:21" ht="15.75" hidden="1" x14ac:dyDescent="0.25">
      <c r="B55" s="876"/>
      <c r="C55" s="167"/>
      <c r="D55" s="167"/>
      <c r="E55" s="167"/>
      <c r="F55" s="167"/>
      <c r="G55" s="167"/>
      <c r="H55" s="167"/>
      <c r="I55" s="167"/>
      <c r="J55" s="167"/>
      <c r="K55" s="167"/>
      <c r="L55" s="167"/>
      <c r="M55" s="167"/>
      <c r="N55" s="167"/>
      <c r="O55" s="167"/>
      <c r="P55" s="167"/>
      <c r="Q55" s="167"/>
      <c r="R55" s="167"/>
      <c r="S55" s="167"/>
      <c r="T55" s="167"/>
      <c r="U55" s="167"/>
    </row>
    <row r="56" spans="2:21" ht="15.75" hidden="1" x14ac:dyDescent="0.25">
      <c r="B56" s="876"/>
      <c r="C56" s="167"/>
      <c r="D56" s="167"/>
      <c r="E56" s="167"/>
      <c r="F56" s="167"/>
      <c r="G56" s="167"/>
      <c r="H56" s="167"/>
      <c r="I56" s="167"/>
      <c r="J56" s="167"/>
      <c r="K56" s="167"/>
      <c r="L56" s="167"/>
      <c r="M56" s="167"/>
      <c r="N56" s="167"/>
      <c r="O56" s="167"/>
      <c r="P56" s="167"/>
      <c r="Q56" s="167"/>
      <c r="R56" s="167"/>
      <c r="S56" s="167"/>
      <c r="T56" s="167"/>
      <c r="U56" s="167"/>
    </row>
    <row r="57" spans="2:21" ht="15.75" hidden="1" x14ac:dyDescent="0.25">
      <c r="B57" s="876"/>
      <c r="C57" s="167"/>
      <c r="D57" s="167"/>
      <c r="E57" s="167"/>
      <c r="F57" s="167"/>
      <c r="G57" s="167"/>
      <c r="H57" s="167"/>
      <c r="I57" s="167"/>
      <c r="J57" s="167"/>
      <c r="K57" s="167"/>
      <c r="L57" s="167"/>
      <c r="M57" s="167"/>
      <c r="N57" s="167"/>
      <c r="O57" s="167"/>
      <c r="P57" s="167"/>
      <c r="Q57" s="167"/>
      <c r="R57" s="167"/>
      <c r="S57" s="167"/>
      <c r="T57" s="167"/>
      <c r="U57" s="167"/>
    </row>
    <row r="58" spans="2:21" ht="15.75" hidden="1" x14ac:dyDescent="0.25">
      <c r="B58" s="876"/>
      <c r="C58" s="167"/>
      <c r="D58" s="167"/>
      <c r="E58" s="167"/>
      <c r="F58" s="167"/>
      <c r="G58" s="167"/>
      <c r="H58" s="167"/>
      <c r="I58" s="167"/>
      <c r="J58" s="167"/>
      <c r="K58" s="167"/>
      <c r="L58" s="167"/>
      <c r="M58" s="167"/>
      <c r="N58" s="167"/>
      <c r="O58" s="167"/>
      <c r="P58" s="167"/>
      <c r="Q58" s="167"/>
      <c r="R58" s="167"/>
      <c r="S58" s="167"/>
      <c r="T58" s="167"/>
      <c r="U58" s="167"/>
    </row>
    <row r="59" spans="2:21" ht="15.75" hidden="1" x14ac:dyDescent="0.25">
      <c r="B59" s="876"/>
      <c r="C59" s="167"/>
      <c r="D59" s="167"/>
      <c r="E59" s="167"/>
      <c r="F59" s="167"/>
      <c r="G59" s="167"/>
      <c r="H59" s="167"/>
      <c r="I59" s="167"/>
      <c r="J59" s="167"/>
      <c r="K59" s="167"/>
      <c r="L59" s="167"/>
      <c r="M59" s="167"/>
      <c r="N59" s="167"/>
      <c r="O59" s="167"/>
      <c r="P59" s="167"/>
      <c r="Q59" s="167"/>
      <c r="R59" s="167"/>
      <c r="S59" s="167"/>
      <c r="T59" s="167"/>
      <c r="U59" s="167"/>
    </row>
    <row r="60" spans="2:21" ht="15.75" hidden="1" x14ac:dyDescent="0.25">
      <c r="B60" s="876"/>
      <c r="C60" s="167"/>
      <c r="D60" s="167"/>
      <c r="E60" s="167"/>
      <c r="F60" s="167"/>
      <c r="G60" s="167"/>
      <c r="H60" s="167"/>
      <c r="I60" s="167"/>
      <c r="J60" s="167"/>
      <c r="K60" s="167"/>
      <c r="L60" s="167"/>
      <c r="M60" s="167"/>
      <c r="N60" s="167"/>
      <c r="O60" s="167"/>
      <c r="P60" s="167"/>
      <c r="Q60" s="167"/>
      <c r="R60" s="167"/>
      <c r="S60" s="167"/>
      <c r="T60" s="167"/>
      <c r="U60" s="167"/>
    </row>
    <row r="61" spans="2:21" ht="15.75" hidden="1" x14ac:dyDescent="0.25">
      <c r="B61" s="876"/>
      <c r="C61" s="167"/>
      <c r="D61" s="167"/>
      <c r="E61" s="167"/>
      <c r="F61" s="167"/>
      <c r="G61" s="167"/>
      <c r="H61" s="167"/>
      <c r="I61" s="167"/>
      <c r="J61" s="167"/>
      <c r="K61" s="167"/>
      <c r="L61" s="167"/>
      <c r="M61" s="167"/>
      <c r="N61" s="167"/>
      <c r="O61" s="167"/>
      <c r="P61" s="167"/>
      <c r="Q61" s="167"/>
      <c r="R61" s="167"/>
      <c r="S61" s="167"/>
      <c r="T61" s="167"/>
      <c r="U61" s="167"/>
    </row>
    <row r="62" spans="2:21" ht="15.75" hidden="1" x14ac:dyDescent="0.25">
      <c r="B62" s="876"/>
      <c r="C62" s="167"/>
      <c r="D62" s="167"/>
      <c r="E62" s="167"/>
      <c r="F62" s="167"/>
      <c r="G62" s="167"/>
      <c r="H62" s="167"/>
      <c r="I62" s="167"/>
      <c r="J62" s="167"/>
      <c r="K62" s="167"/>
      <c r="L62" s="167"/>
      <c r="M62" s="167"/>
      <c r="N62" s="167"/>
      <c r="O62" s="167"/>
      <c r="P62" s="167"/>
      <c r="Q62" s="167"/>
      <c r="R62" s="167"/>
      <c r="S62" s="167"/>
      <c r="T62" s="167"/>
      <c r="U62" s="167"/>
    </row>
    <row r="63" spans="2:21" ht="15.75" hidden="1" x14ac:dyDescent="0.25">
      <c r="B63" s="876"/>
      <c r="C63" s="167"/>
      <c r="D63" s="167"/>
      <c r="E63" s="167"/>
      <c r="F63" s="167"/>
      <c r="G63" s="167"/>
      <c r="H63" s="167"/>
      <c r="I63" s="167"/>
      <c r="J63" s="167"/>
      <c r="K63" s="167"/>
      <c r="L63" s="167"/>
      <c r="M63" s="167"/>
      <c r="N63" s="167"/>
      <c r="O63" s="167"/>
      <c r="P63" s="167"/>
      <c r="Q63" s="167"/>
      <c r="R63" s="167"/>
      <c r="S63" s="167"/>
      <c r="T63" s="167"/>
      <c r="U63" s="167"/>
    </row>
    <row r="64" spans="2:21" ht="15.75" hidden="1" x14ac:dyDescent="0.25">
      <c r="B64" s="876"/>
      <c r="C64" s="167"/>
      <c r="D64" s="167"/>
      <c r="E64" s="167"/>
      <c r="F64" s="167"/>
      <c r="G64" s="167"/>
      <c r="H64" s="167"/>
      <c r="I64" s="167"/>
      <c r="J64" s="167"/>
      <c r="K64" s="167"/>
      <c r="L64" s="167"/>
      <c r="M64" s="167"/>
      <c r="N64" s="167"/>
      <c r="O64" s="167"/>
      <c r="P64" s="167"/>
      <c r="Q64" s="167"/>
      <c r="R64" s="167"/>
      <c r="S64" s="167"/>
      <c r="T64" s="167"/>
      <c r="U64" s="167"/>
    </row>
    <row r="65" spans="2:21" ht="15.75" hidden="1" x14ac:dyDescent="0.25">
      <c r="B65" s="876"/>
      <c r="C65" s="167"/>
      <c r="D65" s="167"/>
      <c r="E65" s="167"/>
      <c r="F65" s="167"/>
      <c r="G65" s="167"/>
      <c r="H65" s="167"/>
      <c r="I65" s="167"/>
      <c r="J65" s="167"/>
      <c r="K65" s="167"/>
      <c r="L65" s="167"/>
      <c r="M65" s="167"/>
      <c r="N65" s="167"/>
      <c r="O65" s="167"/>
      <c r="P65" s="167"/>
      <c r="Q65" s="167"/>
      <c r="R65" s="167"/>
      <c r="S65" s="167"/>
      <c r="T65" s="167"/>
      <c r="U65" s="167"/>
    </row>
    <row r="66" spans="2:21" ht="15.75" hidden="1" x14ac:dyDescent="0.25">
      <c r="B66" s="876"/>
      <c r="C66" s="167"/>
      <c r="D66" s="167"/>
      <c r="E66" s="167"/>
      <c r="F66" s="167"/>
      <c r="G66" s="167"/>
      <c r="H66" s="167"/>
      <c r="I66" s="167"/>
      <c r="J66" s="167"/>
      <c r="K66" s="167"/>
      <c r="L66" s="167"/>
      <c r="M66" s="167"/>
      <c r="N66" s="167"/>
      <c r="O66" s="167"/>
      <c r="P66" s="167"/>
      <c r="Q66" s="167"/>
      <c r="R66" s="167"/>
      <c r="S66" s="167"/>
      <c r="T66" s="167"/>
      <c r="U66" s="167"/>
    </row>
    <row r="67" spans="2:21" ht="15.75" hidden="1" x14ac:dyDescent="0.25">
      <c r="B67" s="876"/>
      <c r="C67" s="167"/>
      <c r="D67" s="167"/>
      <c r="E67" s="167"/>
      <c r="F67" s="167"/>
      <c r="G67" s="167"/>
      <c r="H67" s="167"/>
      <c r="I67" s="167"/>
      <c r="J67" s="167"/>
      <c r="K67" s="167"/>
      <c r="L67" s="167"/>
      <c r="M67" s="167"/>
      <c r="N67" s="167"/>
      <c r="O67" s="167"/>
      <c r="P67" s="167"/>
      <c r="Q67" s="167"/>
      <c r="R67" s="167"/>
      <c r="S67" s="167"/>
      <c r="T67" s="167"/>
      <c r="U67" s="167"/>
    </row>
    <row r="68" spans="2:21" ht="15.75" hidden="1" x14ac:dyDescent="0.25">
      <c r="B68" s="876"/>
      <c r="C68" s="167"/>
      <c r="D68" s="167"/>
      <c r="E68" s="167"/>
      <c r="F68" s="167"/>
      <c r="G68" s="167"/>
      <c r="H68" s="167"/>
      <c r="I68" s="167"/>
      <c r="J68" s="167"/>
      <c r="K68" s="167"/>
      <c r="L68" s="167"/>
      <c r="M68" s="167"/>
      <c r="N68" s="167"/>
      <c r="O68" s="167"/>
      <c r="P68" s="167"/>
      <c r="Q68" s="167"/>
      <c r="R68" s="167"/>
      <c r="S68" s="167"/>
      <c r="T68" s="167"/>
      <c r="U68" s="167"/>
    </row>
    <row r="69" spans="2:21" ht="15.75" hidden="1" x14ac:dyDescent="0.25">
      <c r="B69" s="876"/>
      <c r="C69" s="167"/>
      <c r="D69" s="167"/>
      <c r="E69" s="167"/>
      <c r="F69" s="167"/>
      <c r="G69" s="167"/>
      <c r="H69" s="167"/>
      <c r="I69" s="167"/>
      <c r="J69" s="167"/>
      <c r="K69" s="167"/>
      <c r="L69" s="167"/>
      <c r="M69" s="167"/>
      <c r="N69" s="167"/>
      <c r="O69" s="167"/>
      <c r="P69" s="167"/>
      <c r="Q69" s="167"/>
      <c r="R69" s="167"/>
      <c r="S69" s="167"/>
      <c r="T69" s="167"/>
      <c r="U69" s="167"/>
    </row>
    <row r="70" spans="2:21" ht="15.75" hidden="1" x14ac:dyDescent="0.25">
      <c r="B70" s="876"/>
      <c r="C70" s="167"/>
      <c r="D70" s="167"/>
      <c r="E70" s="167"/>
      <c r="F70" s="167"/>
      <c r="G70" s="167"/>
      <c r="H70" s="167"/>
      <c r="I70" s="167"/>
      <c r="J70" s="167"/>
      <c r="K70" s="167"/>
      <c r="L70" s="167"/>
      <c r="M70" s="167"/>
      <c r="N70" s="167"/>
      <c r="O70" s="167"/>
      <c r="P70" s="167"/>
      <c r="Q70" s="167"/>
      <c r="R70" s="167"/>
      <c r="S70" s="167"/>
      <c r="T70" s="167"/>
      <c r="U70" s="167"/>
    </row>
    <row r="71" spans="2:21" ht="15.75" hidden="1" x14ac:dyDescent="0.25">
      <c r="B71" s="876"/>
      <c r="C71" s="167"/>
      <c r="D71" s="167"/>
      <c r="E71" s="167"/>
      <c r="F71" s="167"/>
      <c r="G71" s="167"/>
      <c r="H71" s="167"/>
      <c r="I71" s="167"/>
      <c r="J71" s="167"/>
      <c r="K71" s="167"/>
      <c r="L71" s="167"/>
      <c r="M71" s="167"/>
      <c r="N71" s="167"/>
      <c r="O71" s="167"/>
      <c r="P71" s="167"/>
      <c r="Q71" s="167"/>
      <c r="R71" s="167"/>
      <c r="S71" s="167"/>
      <c r="T71" s="167"/>
      <c r="U71" s="167"/>
    </row>
    <row r="72" spans="2:21" ht="15.75" hidden="1" x14ac:dyDescent="0.25">
      <c r="B72" s="876"/>
      <c r="C72" s="167"/>
      <c r="D72" s="167"/>
      <c r="E72" s="167"/>
      <c r="F72" s="167"/>
      <c r="G72" s="167"/>
      <c r="H72" s="167"/>
      <c r="I72" s="167"/>
      <c r="J72" s="167"/>
      <c r="K72" s="167"/>
      <c r="L72" s="167"/>
      <c r="M72" s="167"/>
      <c r="N72" s="167"/>
      <c r="O72" s="167"/>
      <c r="P72" s="167"/>
      <c r="Q72" s="167"/>
      <c r="R72" s="167"/>
      <c r="S72" s="167"/>
      <c r="T72" s="167"/>
      <c r="U72" s="167"/>
    </row>
    <row r="73" spans="2:21" ht="15.75" hidden="1" x14ac:dyDescent="0.25">
      <c r="B73" s="876"/>
      <c r="C73" s="167"/>
      <c r="D73" s="167"/>
      <c r="E73" s="167"/>
      <c r="F73" s="167"/>
      <c r="G73" s="167"/>
      <c r="H73" s="167"/>
      <c r="I73" s="167"/>
      <c r="J73" s="167"/>
      <c r="K73" s="167"/>
      <c r="L73" s="167"/>
      <c r="M73" s="167"/>
      <c r="N73" s="167"/>
      <c r="O73" s="167"/>
      <c r="P73" s="167"/>
      <c r="Q73" s="167"/>
      <c r="R73" s="167"/>
      <c r="S73" s="167"/>
      <c r="T73" s="167"/>
      <c r="U73" s="167"/>
    </row>
    <row r="74" spans="2:21" ht="15.75" hidden="1" x14ac:dyDescent="0.25">
      <c r="B74" s="876"/>
      <c r="C74" s="167"/>
      <c r="D74" s="167"/>
      <c r="E74" s="167"/>
      <c r="F74" s="167"/>
      <c r="G74" s="167"/>
      <c r="H74" s="167"/>
      <c r="I74" s="167"/>
      <c r="J74" s="167"/>
      <c r="K74" s="167"/>
      <c r="L74" s="167"/>
      <c r="M74" s="167"/>
      <c r="N74" s="167"/>
      <c r="O74" s="167"/>
      <c r="P74" s="167"/>
      <c r="Q74" s="167"/>
      <c r="R74" s="167"/>
      <c r="S74" s="167"/>
      <c r="T74" s="167"/>
      <c r="U74" s="167"/>
    </row>
    <row r="75" spans="2:21" ht="15.75" hidden="1" x14ac:dyDescent="0.25">
      <c r="B75" s="876"/>
      <c r="C75" s="167"/>
      <c r="D75" s="167"/>
      <c r="E75" s="167"/>
      <c r="F75" s="167"/>
      <c r="G75" s="167"/>
      <c r="H75" s="167"/>
      <c r="I75" s="167"/>
      <c r="J75" s="167"/>
      <c r="K75" s="167"/>
      <c r="L75" s="167"/>
      <c r="M75" s="167"/>
      <c r="N75" s="167"/>
      <c r="O75" s="167"/>
      <c r="P75" s="167"/>
      <c r="Q75" s="167"/>
      <c r="R75" s="167"/>
      <c r="S75" s="167"/>
      <c r="T75" s="167"/>
      <c r="U75" s="167"/>
    </row>
    <row r="76" spans="2:21" ht="15.75" hidden="1" x14ac:dyDescent="0.25">
      <c r="B76" s="876"/>
      <c r="C76" s="167"/>
      <c r="D76" s="167"/>
      <c r="E76" s="167"/>
      <c r="F76" s="167"/>
      <c r="G76" s="167"/>
      <c r="H76" s="167"/>
      <c r="I76" s="167"/>
      <c r="J76" s="167"/>
      <c r="K76" s="167"/>
      <c r="L76" s="167"/>
      <c r="M76" s="167"/>
      <c r="N76" s="167"/>
      <c r="O76" s="167"/>
      <c r="P76" s="167"/>
      <c r="Q76" s="167"/>
      <c r="R76" s="167"/>
      <c r="S76" s="167"/>
      <c r="T76" s="167"/>
      <c r="U76" s="167"/>
    </row>
    <row r="77" spans="2:21" ht="15.75" hidden="1" x14ac:dyDescent="0.25">
      <c r="B77" s="876"/>
      <c r="C77" s="167"/>
      <c r="D77" s="167"/>
      <c r="E77" s="167"/>
      <c r="F77" s="167"/>
      <c r="G77" s="167"/>
      <c r="H77" s="167"/>
      <c r="I77" s="167"/>
      <c r="J77" s="167"/>
      <c r="K77" s="167"/>
      <c r="L77" s="167"/>
      <c r="M77" s="167"/>
      <c r="N77" s="167"/>
      <c r="O77" s="167"/>
      <c r="P77" s="167"/>
      <c r="Q77" s="167"/>
      <c r="R77" s="167"/>
      <c r="S77" s="167"/>
      <c r="T77" s="167"/>
      <c r="U77" s="167"/>
    </row>
    <row r="78" spans="2:21" ht="15.75" hidden="1" x14ac:dyDescent="0.25">
      <c r="B78" s="876"/>
      <c r="C78" s="167"/>
      <c r="D78" s="167"/>
      <c r="E78" s="167"/>
      <c r="F78" s="167"/>
      <c r="G78" s="167"/>
      <c r="H78" s="167"/>
      <c r="I78" s="167"/>
      <c r="J78" s="167"/>
      <c r="K78" s="167"/>
      <c r="L78" s="167"/>
      <c r="M78" s="167"/>
      <c r="N78" s="167"/>
      <c r="O78" s="167"/>
      <c r="P78" s="167"/>
      <c r="Q78" s="167"/>
      <c r="R78" s="167"/>
      <c r="S78" s="167"/>
      <c r="T78" s="167"/>
      <c r="U78" s="167"/>
    </row>
    <row r="79" spans="2:21" ht="15.75" hidden="1" x14ac:dyDescent="0.25">
      <c r="B79" s="876"/>
      <c r="C79" s="167"/>
      <c r="D79" s="167"/>
      <c r="E79" s="167"/>
      <c r="F79" s="167"/>
      <c r="G79" s="167"/>
      <c r="H79" s="167"/>
      <c r="I79" s="167"/>
      <c r="J79" s="167"/>
      <c r="K79" s="167"/>
      <c r="L79" s="167"/>
      <c r="M79" s="167"/>
      <c r="N79" s="167"/>
      <c r="O79" s="167"/>
      <c r="P79" s="167"/>
      <c r="Q79" s="167"/>
      <c r="R79" s="167"/>
      <c r="S79" s="167"/>
      <c r="T79" s="167"/>
      <c r="U79" s="167"/>
    </row>
    <row r="80" spans="2:21" ht="15.75" hidden="1" x14ac:dyDescent="0.25">
      <c r="B80" s="876"/>
      <c r="C80" s="167"/>
      <c r="D80" s="167"/>
      <c r="E80" s="167"/>
      <c r="F80" s="167"/>
      <c r="G80" s="167"/>
      <c r="H80" s="167"/>
      <c r="I80" s="167"/>
      <c r="J80" s="167"/>
      <c r="K80" s="167"/>
      <c r="L80" s="167"/>
      <c r="M80" s="167"/>
      <c r="N80" s="167"/>
      <c r="O80" s="167"/>
      <c r="P80" s="167"/>
      <c r="Q80" s="167"/>
      <c r="R80" s="167"/>
      <c r="S80" s="167"/>
      <c r="T80" s="167"/>
      <c r="U80" s="167"/>
    </row>
    <row r="81" spans="2:21" ht="15.75" hidden="1" x14ac:dyDescent="0.25">
      <c r="B81" s="876"/>
      <c r="C81" s="167"/>
      <c r="D81" s="167"/>
      <c r="E81" s="167"/>
      <c r="F81" s="167"/>
      <c r="G81" s="167"/>
      <c r="H81" s="167"/>
      <c r="I81" s="167"/>
      <c r="J81" s="167"/>
      <c r="K81" s="167"/>
      <c r="L81" s="167"/>
      <c r="M81" s="167"/>
      <c r="N81" s="167"/>
      <c r="O81" s="167"/>
      <c r="P81" s="167"/>
      <c r="Q81" s="167"/>
      <c r="R81" s="167"/>
      <c r="S81" s="167"/>
      <c r="T81" s="167"/>
      <c r="U81" s="167"/>
    </row>
    <row r="82" spans="2:21" ht="15.75" hidden="1" x14ac:dyDescent="0.25">
      <c r="B82" s="876"/>
      <c r="C82" s="167"/>
      <c r="D82" s="167"/>
      <c r="E82" s="167"/>
      <c r="F82" s="167"/>
      <c r="G82" s="167"/>
      <c r="H82" s="167"/>
      <c r="I82" s="167"/>
      <c r="J82" s="167"/>
      <c r="K82" s="167"/>
      <c r="L82" s="167"/>
      <c r="M82" s="167"/>
      <c r="N82" s="167"/>
      <c r="O82" s="167"/>
      <c r="P82" s="167"/>
      <c r="Q82" s="167"/>
      <c r="R82" s="167"/>
      <c r="S82" s="167"/>
      <c r="T82" s="167"/>
      <c r="U82" s="167"/>
    </row>
    <row r="83" spans="2:21" ht="15.75" hidden="1" x14ac:dyDescent="0.25">
      <c r="B83" s="876"/>
      <c r="C83" s="167"/>
      <c r="D83" s="167"/>
      <c r="E83" s="167"/>
      <c r="F83" s="167"/>
      <c r="G83" s="167"/>
      <c r="H83" s="167"/>
      <c r="I83" s="167"/>
      <c r="J83" s="167"/>
      <c r="K83" s="167"/>
      <c r="L83" s="167"/>
      <c r="M83" s="167"/>
      <c r="N83" s="167"/>
      <c r="O83" s="167"/>
      <c r="P83" s="167"/>
      <c r="Q83" s="167"/>
      <c r="R83" s="167"/>
      <c r="S83" s="167"/>
      <c r="T83" s="167"/>
      <c r="U83" s="167"/>
    </row>
    <row r="84" spans="2:21" ht="15.75" hidden="1" x14ac:dyDescent="0.25">
      <c r="B84" s="876"/>
      <c r="C84" s="167"/>
      <c r="D84" s="167"/>
      <c r="E84" s="167"/>
      <c r="F84" s="167"/>
      <c r="G84" s="167"/>
      <c r="H84" s="167"/>
      <c r="I84" s="167"/>
      <c r="J84" s="167"/>
      <c r="K84" s="167"/>
      <c r="L84" s="167"/>
      <c r="M84" s="167"/>
      <c r="N84" s="167"/>
      <c r="O84" s="167"/>
      <c r="P84" s="167"/>
      <c r="Q84" s="167"/>
      <c r="R84" s="167"/>
      <c r="S84" s="167"/>
      <c r="T84" s="167"/>
      <c r="U84" s="167"/>
    </row>
    <row r="85" spans="2:21" ht="15.75" hidden="1" x14ac:dyDescent="0.25">
      <c r="B85" s="876"/>
      <c r="C85" s="167"/>
      <c r="D85" s="167"/>
      <c r="E85" s="167"/>
      <c r="F85" s="167"/>
      <c r="G85" s="167"/>
      <c r="H85" s="167"/>
      <c r="I85" s="167"/>
      <c r="J85" s="167"/>
      <c r="K85" s="167"/>
      <c r="L85" s="167"/>
      <c r="M85" s="167"/>
      <c r="N85" s="167"/>
      <c r="O85" s="167"/>
      <c r="P85" s="167"/>
      <c r="Q85" s="167"/>
      <c r="R85" s="167"/>
      <c r="S85" s="167"/>
      <c r="T85" s="167"/>
      <c r="U85" s="167"/>
    </row>
    <row r="86" spans="2:21" ht="15.75" hidden="1" x14ac:dyDescent="0.25">
      <c r="B86" s="876"/>
      <c r="C86" s="167"/>
      <c r="D86" s="167"/>
      <c r="E86" s="167"/>
      <c r="F86" s="167"/>
      <c r="G86" s="167"/>
      <c r="H86" s="167"/>
      <c r="I86" s="167"/>
      <c r="J86" s="167"/>
      <c r="K86" s="167"/>
      <c r="L86" s="167"/>
      <c r="M86" s="167"/>
      <c r="N86" s="167"/>
      <c r="O86" s="167"/>
      <c r="P86" s="167"/>
      <c r="Q86" s="167"/>
      <c r="R86" s="167"/>
      <c r="S86" s="167"/>
      <c r="T86" s="167"/>
      <c r="U86" s="167"/>
    </row>
    <row r="87" spans="2:21" ht="15.75" hidden="1" x14ac:dyDescent="0.25">
      <c r="B87" s="876"/>
      <c r="C87" s="167"/>
      <c r="D87" s="167"/>
      <c r="E87" s="167"/>
      <c r="F87" s="167"/>
      <c r="G87" s="167"/>
      <c r="H87" s="167"/>
      <c r="I87" s="167"/>
      <c r="J87" s="167"/>
      <c r="K87" s="167"/>
      <c r="L87" s="167"/>
      <c r="M87" s="167"/>
      <c r="N87" s="167"/>
      <c r="O87" s="167"/>
      <c r="P87" s="167"/>
      <c r="Q87" s="167"/>
      <c r="R87" s="167"/>
      <c r="S87" s="167"/>
      <c r="T87" s="167"/>
      <c r="U87" s="167"/>
    </row>
    <row r="88" spans="2:21" ht="15.75" hidden="1" x14ac:dyDescent="0.25">
      <c r="B88" s="876"/>
      <c r="C88" s="167"/>
      <c r="D88" s="167"/>
      <c r="E88" s="167"/>
      <c r="F88" s="167"/>
      <c r="G88" s="167"/>
      <c r="H88" s="167"/>
      <c r="I88" s="167"/>
      <c r="J88" s="167"/>
      <c r="K88" s="167"/>
      <c r="L88" s="167"/>
      <c r="M88" s="167"/>
      <c r="N88" s="167"/>
      <c r="O88" s="167"/>
      <c r="P88" s="167"/>
      <c r="Q88" s="167"/>
      <c r="R88" s="167"/>
      <c r="S88" s="167"/>
      <c r="T88" s="167"/>
      <c r="U88" s="167"/>
    </row>
    <row r="89" spans="2:21" ht="15.75" hidden="1" x14ac:dyDescent="0.25">
      <c r="B89" s="876"/>
      <c r="C89" s="167"/>
      <c r="D89" s="167"/>
      <c r="E89" s="167"/>
      <c r="F89" s="167"/>
      <c r="G89" s="167"/>
      <c r="H89" s="167"/>
      <c r="I89" s="167"/>
      <c r="J89" s="167"/>
      <c r="K89" s="167"/>
      <c r="L89" s="167"/>
      <c r="M89" s="167"/>
      <c r="N89" s="167"/>
      <c r="O89" s="167"/>
      <c r="P89" s="167"/>
      <c r="Q89" s="167"/>
      <c r="R89" s="167"/>
      <c r="S89" s="167"/>
      <c r="T89" s="167"/>
      <c r="U89" s="167"/>
    </row>
    <row r="90" spans="2:21" ht="15.75" hidden="1" x14ac:dyDescent="0.25">
      <c r="B90" s="876"/>
      <c r="C90" s="167"/>
      <c r="D90" s="167"/>
      <c r="E90" s="167"/>
      <c r="F90" s="167"/>
      <c r="G90" s="167"/>
      <c r="H90" s="167"/>
      <c r="I90" s="167"/>
      <c r="J90" s="167"/>
      <c r="K90" s="167"/>
      <c r="L90" s="167"/>
      <c r="M90" s="167"/>
      <c r="N90" s="167"/>
      <c r="O90" s="167"/>
      <c r="P90" s="167"/>
      <c r="Q90" s="167"/>
      <c r="R90" s="167"/>
      <c r="S90" s="167"/>
      <c r="T90" s="167"/>
      <c r="U90" s="167"/>
    </row>
    <row r="91" spans="2:21" ht="15.75" hidden="1" x14ac:dyDescent="0.25">
      <c r="B91" s="876"/>
      <c r="C91" s="167"/>
      <c r="D91" s="167"/>
      <c r="E91" s="167"/>
      <c r="F91" s="167"/>
      <c r="G91" s="167"/>
      <c r="H91" s="167"/>
      <c r="I91" s="167"/>
      <c r="J91" s="167"/>
      <c r="K91" s="167"/>
      <c r="L91" s="167"/>
      <c r="M91" s="167"/>
      <c r="N91" s="167"/>
      <c r="O91" s="167"/>
      <c r="P91" s="167"/>
      <c r="Q91" s="167"/>
      <c r="R91" s="167"/>
      <c r="S91" s="167"/>
      <c r="T91" s="167"/>
      <c r="U91" s="167"/>
    </row>
    <row r="92" spans="2:21" ht="15.75" hidden="1" x14ac:dyDescent="0.25">
      <c r="B92" s="876"/>
      <c r="C92" s="167"/>
      <c r="D92" s="167"/>
      <c r="E92" s="167"/>
      <c r="F92" s="167"/>
      <c r="G92" s="167"/>
      <c r="H92" s="167"/>
      <c r="I92" s="167"/>
      <c r="J92" s="167"/>
      <c r="K92" s="167"/>
      <c r="L92" s="167"/>
      <c r="M92" s="167"/>
      <c r="N92" s="167"/>
      <c r="O92" s="167"/>
      <c r="P92" s="167"/>
      <c r="Q92" s="167"/>
      <c r="R92" s="167"/>
      <c r="S92" s="167"/>
      <c r="T92" s="167"/>
      <c r="U92" s="167"/>
    </row>
    <row r="93" spans="2:21" ht="15.75" hidden="1" x14ac:dyDescent="0.25">
      <c r="B93" s="876"/>
      <c r="C93" s="167"/>
      <c r="D93" s="167"/>
      <c r="E93" s="167"/>
      <c r="F93" s="167"/>
      <c r="G93" s="167"/>
      <c r="H93" s="167"/>
      <c r="I93" s="167"/>
      <c r="J93" s="167"/>
      <c r="K93" s="167"/>
      <c r="L93" s="167"/>
      <c r="M93" s="167"/>
      <c r="N93" s="167"/>
      <c r="O93" s="167"/>
      <c r="P93" s="167"/>
      <c r="Q93" s="167"/>
      <c r="R93" s="167"/>
      <c r="S93" s="167"/>
      <c r="T93" s="167"/>
      <c r="U93" s="167"/>
    </row>
    <row r="94" spans="2:21" ht="15.75" hidden="1" x14ac:dyDescent="0.25">
      <c r="B94" s="876"/>
      <c r="C94" s="167"/>
      <c r="D94" s="167"/>
      <c r="E94" s="167"/>
      <c r="F94" s="167"/>
      <c r="G94" s="167"/>
      <c r="H94" s="167"/>
      <c r="I94" s="167"/>
      <c r="J94" s="167"/>
      <c r="K94" s="167"/>
      <c r="L94" s="167"/>
      <c r="M94" s="167"/>
      <c r="N94" s="167"/>
      <c r="O94" s="167"/>
      <c r="P94" s="167"/>
      <c r="Q94" s="167"/>
      <c r="R94" s="167"/>
      <c r="S94" s="167"/>
      <c r="T94" s="167"/>
      <c r="U94" s="167"/>
    </row>
    <row r="95" spans="2:21" ht="15.75" hidden="1" x14ac:dyDescent="0.25">
      <c r="B95" s="876"/>
      <c r="C95" s="167"/>
      <c r="D95" s="167"/>
      <c r="E95" s="167"/>
      <c r="F95" s="167"/>
      <c r="G95" s="167"/>
      <c r="H95" s="167"/>
      <c r="I95" s="167"/>
      <c r="J95" s="167"/>
      <c r="K95" s="167"/>
      <c r="L95" s="167"/>
      <c r="M95" s="167"/>
      <c r="N95" s="167"/>
      <c r="O95" s="167"/>
      <c r="P95" s="167"/>
      <c r="Q95" s="167"/>
      <c r="R95" s="167"/>
      <c r="S95" s="167"/>
      <c r="T95" s="167"/>
      <c r="U95" s="167"/>
    </row>
    <row r="96" spans="2:21" ht="15.75" hidden="1" x14ac:dyDescent="0.25">
      <c r="B96" s="876"/>
      <c r="C96" s="167"/>
      <c r="D96" s="167"/>
      <c r="E96" s="167"/>
      <c r="F96" s="167"/>
      <c r="G96" s="167"/>
      <c r="H96" s="167"/>
      <c r="I96" s="167"/>
      <c r="J96" s="167"/>
      <c r="K96" s="167"/>
      <c r="L96" s="167"/>
      <c r="M96" s="167"/>
      <c r="N96" s="167"/>
      <c r="O96" s="167"/>
      <c r="P96" s="167"/>
      <c r="Q96" s="167"/>
      <c r="R96" s="167"/>
      <c r="S96" s="167"/>
      <c r="T96" s="167"/>
      <c r="U96" s="167"/>
    </row>
    <row r="97" spans="2:21" ht="15.75" hidden="1" x14ac:dyDescent="0.25">
      <c r="B97" s="876"/>
      <c r="C97" s="167"/>
      <c r="D97" s="167"/>
      <c r="E97" s="167"/>
      <c r="F97" s="167"/>
      <c r="G97" s="167"/>
      <c r="H97" s="167"/>
      <c r="I97" s="167"/>
      <c r="J97" s="167"/>
      <c r="K97" s="167"/>
      <c r="L97" s="167"/>
      <c r="M97" s="167"/>
      <c r="N97" s="167"/>
      <c r="O97" s="167"/>
      <c r="P97" s="167"/>
      <c r="Q97" s="167"/>
      <c r="R97" s="167"/>
      <c r="S97" s="167"/>
      <c r="T97" s="167"/>
      <c r="U97" s="167"/>
    </row>
    <row r="98" spans="2:21" ht="15.75" hidden="1" x14ac:dyDescent="0.25">
      <c r="B98" s="876"/>
      <c r="C98" s="167"/>
      <c r="D98" s="167"/>
      <c r="E98" s="167"/>
      <c r="F98" s="167"/>
      <c r="G98" s="167"/>
      <c r="H98" s="167"/>
      <c r="I98" s="167"/>
      <c r="J98" s="167"/>
      <c r="K98" s="167"/>
      <c r="L98" s="167"/>
      <c r="M98" s="167"/>
      <c r="N98" s="167"/>
      <c r="O98" s="167"/>
      <c r="P98" s="167"/>
      <c r="Q98" s="167"/>
      <c r="R98" s="167"/>
      <c r="S98" s="167"/>
      <c r="T98" s="167"/>
      <c r="U98" s="167"/>
    </row>
    <row r="99" spans="2:21" ht="15.75" hidden="1" x14ac:dyDescent="0.25">
      <c r="B99" s="876"/>
      <c r="C99" s="167"/>
      <c r="D99" s="167"/>
      <c r="E99" s="167"/>
      <c r="F99" s="167"/>
      <c r="G99" s="167"/>
      <c r="H99" s="167"/>
      <c r="I99" s="167"/>
      <c r="J99" s="167"/>
      <c r="K99" s="167"/>
      <c r="L99" s="167"/>
      <c r="M99" s="167"/>
      <c r="N99" s="167"/>
      <c r="O99" s="167"/>
      <c r="P99" s="167"/>
      <c r="Q99" s="167"/>
      <c r="R99" s="167"/>
      <c r="S99" s="167"/>
      <c r="T99" s="167"/>
      <c r="U99" s="167"/>
    </row>
    <row r="100" spans="2:21" ht="15.75" hidden="1" x14ac:dyDescent="0.25">
      <c r="B100" s="876"/>
      <c r="C100" s="167"/>
      <c r="D100" s="167"/>
      <c r="E100" s="167"/>
      <c r="F100" s="167"/>
      <c r="G100" s="167"/>
      <c r="H100" s="167"/>
      <c r="I100" s="167"/>
      <c r="J100" s="167"/>
      <c r="K100" s="167"/>
      <c r="L100" s="167"/>
      <c r="M100" s="167"/>
      <c r="N100" s="167"/>
      <c r="O100" s="167"/>
      <c r="P100" s="167"/>
      <c r="Q100" s="167"/>
      <c r="R100" s="167"/>
      <c r="S100" s="167"/>
      <c r="T100" s="167"/>
      <c r="U100" s="167"/>
    </row>
    <row r="101" spans="2:21" ht="15.75" hidden="1" x14ac:dyDescent="0.25">
      <c r="B101" s="876"/>
      <c r="C101" s="167"/>
      <c r="D101" s="167"/>
      <c r="E101" s="167"/>
      <c r="F101" s="167"/>
      <c r="G101" s="167"/>
      <c r="H101" s="167"/>
      <c r="I101" s="167"/>
      <c r="J101" s="167"/>
      <c r="K101" s="167"/>
      <c r="L101" s="167"/>
      <c r="M101" s="167"/>
      <c r="N101" s="167"/>
      <c r="O101" s="167"/>
      <c r="P101" s="167"/>
      <c r="Q101" s="167"/>
      <c r="R101" s="167"/>
      <c r="S101" s="167"/>
      <c r="T101" s="167"/>
      <c r="U101" s="167"/>
    </row>
    <row r="102" spans="2:21" ht="15.75" hidden="1" x14ac:dyDescent="0.25">
      <c r="B102" s="876"/>
      <c r="C102" s="167"/>
      <c r="D102" s="167"/>
      <c r="E102" s="167"/>
      <c r="F102" s="167"/>
      <c r="G102" s="167"/>
      <c r="H102" s="167"/>
      <c r="I102" s="167"/>
      <c r="J102" s="167"/>
      <c r="K102" s="167"/>
      <c r="L102" s="167"/>
      <c r="M102" s="167"/>
      <c r="N102" s="167"/>
      <c r="O102" s="167"/>
      <c r="P102" s="167"/>
      <c r="Q102" s="167"/>
      <c r="R102" s="167"/>
      <c r="S102" s="167"/>
      <c r="T102" s="167"/>
      <c r="U102" s="167"/>
    </row>
    <row r="103" spans="2:21" ht="15.75" hidden="1" x14ac:dyDescent="0.25">
      <c r="B103" s="876"/>
      <c r="C103" s="167"/>
      <c r="D103" s="167"/>
      <c r="E103" s="167"/>
      <c r="F103" s="167"/>
      <c r="G103" s="167"/>
      <c r="H103" s="167"/>
      <c r="I103" s="167"/>
      <c r="J103" s="167"/>
      <c r="K103" s="167"/>
      <c r="L103" s="167"/>
      <c r="M103" s="167"/>
      <c r="N103" s="167"/>
      <c r="O103" s="167"/>
      <c r="P103" s="167"/>
      <c r="Q103" s="167"/>
      <c r="R103" s="167"/>
      <c r="S103" s="167"/>
      <c r="T103" s="167"/>
      <c r="U103" s="167"/>
    </row>
    <row r="104" spans="2:21" ht="15.75" hidden="1" x14ac:dyDescent="0.25">
      <c r="B104" s="876"/>
      <c r="C104" s="167"/>
      <c r="D104" s="167"/>
      <c r="E104" s="167"/>
      <c r="F104" s="167"/>
      <c r="G104" s="167"/>
      <c r="H104" s="167"/>
      <c r="I104" s="167"/>
      <c r="J104" s="167"/>
      <c r="K104" s="167"/>
      <c r="L104" s="167"/>
      <c r="M104" s="167"/>
      <c r="N104" s="167"/>
      <c r="O104" s="167"/>
      <c r="P104" s="167"/>
      <c r="Q104" s="167"/>
      <c r="R104" s="167"/>
      <c r="S104" s="167"/>
      <c r="T104" s="167"/>
      <c r="U104" s="167"/>
    </row>
    <row r="105" spans="2:21" ht="15.75" hidden="1" x14ac:dyDescent="0.25">
      <c r="B105" s="876"/>
      <c r="C105" s="167"/>
      <c r="D105" s="167"/>
      <c r="E105" s="167"/>
      <c r="F105" s="167"/>
      <c r="G105" s="167"/>
      <c r="H105" s="167"/>
      <c r="I105" s="167"/>
      <c r="J105" s="167"/>
      <c r="K105" s="167"/>
      <c r="L105" s="167"/>
      <c r="M105" s="167"/>
      <c r="N105" s="167"/>
      <c r="O105" s="167"/>
      <c r="P105" s="167"/>
      <c r="Q105" s="167"/>
      <c r="R105" s="167"/>
      <c r="S105" s="167"/>
      <c r="T105" s="167"/>
      <c r="U105" s="167"/>
    </row>
    <row r="106" spans="2:21" ht="15.75" hidden="1" x14ac:dyDescent="0.25">
      <c r="B106" s="876"/>
      <c r="C106" s="167"/>
      <c r="D106" s="167"/>
      <c r="E106" s="167"/>
      <c r="F106" s="167"/>
      <c r="G106" s="167"/>
      <c r="H106" s="167"/>
      <c r="I106" s="167"/>
      <c r="J106" s="167"/>
      <c r="K106" s="167"/>
      <c r="L106" s="167"/>
      <c r="M106" s="167"/>
      <c r="N106" s="167"/>
      <c r="O106" s="167"/>
      <c r="P106" s="167"/>
      <c r="Q106" s="167"/>
      <c r="R106" s="167"/>
      <c r="S106" s="167"/>
      <c r="T106" s="167"/>
      <c r="U106" s="167"/>
    </row>
    <row r="107" spans="2:21" ht="15.75" hidden="1" x14ac:dyDescent="0.25">
      <c r="B107" s="876"/>
      <c r="C107" s="167"/>
      <c r="D107" s="167"/>
      <c r="E107" s="167"/>
      <c r="F107" s="167"/>
      <c r="G107" s="167"/>
      <c r="H107" s="167"/>
      <c r="I107" s="167"/>
      <c r="J107" s="167"/>
      <c r="K107" s="167"/>
      <c r="L107" s="167"/>
      <c r="M107" s="167"/>
      <c r="N107" s="167"/>
      <c r="O107" s="167"/>
      <c r="P107" s="167"/>
      <c r="Q107" s="167"/>
      <c r="R107" s="167"/>
      <c r="S107" s="167"/>
      <c r="T107" s="167"/>
      <c r="U107" s="167"/>
    </row>
    <row r="108" spans="2:21" ht="15.75" hidden="1" x14ac:dyDescent="0.25">
      <c r="B108" s="876"/>
      <c r="C108" s="167"/>
      <c r="D108" s="167"/>
      <c r="E108" s="167"/>
      <c r="F108" s="167"/>
      <c r="G108" s="167"/>
      <c r="H108" s="167"/>
      <c r="I108" s="167"/>
      <c r="J108" s="167"/>
      <c r="K108" s="167"/>
      <c r="L108" s="167"/>
      <c r="M108" s="167"/>
      <c r="N108" s="167"/>
      <c r="O108" s="167"/>
      <c r="P108" s="167"/>
      <c r="Q108" s="167"/>
      <c r="R108" s="167"/>
      <c r="S108" s="167"/>
      <c r="T108" s="167"/>
      <c r="U108" s="167"/>
    </row>
    <row r="109" spans="2:21" ht="15.75" hidden="1" x14ac:dyDescent="0.25">
      <c r="B109" s="876"/>
      <c r="C109" s="167"/>
      <c r="D109" s="167"/>
      <c r="E109" s="167"/>
      <c r="F109" s="167"/>
      <c r="G109" s="167"/>
      <c r="H109" s="167"/>
      <c r="I109" s="167"/>
      <c r="J109" s="167"/>
      <c r="K109" s="167"/>
      <c r="L109" s="167"/>
      <c r="M109" s="167"/>
      <c r="N109" s="167"/>
      <c r="O109" s="167"/>
      <c r="P109" s="167"/>
      <c r="Q109" s="167"/>
      <c r="R109" s="167"/>
      <c r="S109" s="167"/>
      <c r="T109" s="167"/>
      <c r="U109" s="167"/>
    </row>
    <row r="110" spans="2:21" ht="15.75" hidden="1" x14ac:dyDescent="0.25">
      <c r="B110" s="876"/>
      <c r="C110" s="167"/>
      <c r="D110" s="167"/>
      <c r="E110" s="167"/>
      <c r="F110" s="167"/>
      <c r="G110" s="167"/>
      <c r="H110" s="167"/>
      <c r="I110" s="167"/>
      <c r="J110" s="167"/>
      <c r="K110" s="167"/>
      <c r="L110" s="167"/>
      <c r="M110" s="167"/>
      <c r="N110" s="167"/>
      <c r="O110" s="167"/>
      <c r="P110" s="167"/>
      <c r="Q110" s="167"/>
      <c r="R110" s="167"/>
      <c r="S110" s="167"/>
      <c r="T110" s="167"/>
      <c r="U110" s="167"/>
    </row>
    <row r="111" spans="2:21" ht="15.75" hidden="1" x14ac:dyDescent="0.25">
      <c r="B111" s="876"/>
      <c r="C111" s="167"/>
      <c r="D111" s="167"/>
      <c r="E111" s="167"/>
      <c r="F111" s="167"/>
      <c r="G111" s="167"/>
      <c r="H111" s="167"/>
      <c r="I111" s="167"/>
      <c r="J111" s="167"/>
      <c r="K111" s="167"/>
      <c r="L111" s="167"/>
      <c r="M111" s="167"/>
      <c r="N111" s="167"/>
      <c r="O111" s="167"/>
      <c r="P111" s="167"/>
      <c r="Q111" s="167"/>
      <c r="R111" s="167"/>
      <c r="S111" s="167"/>
      <c r="T111" s="167"/>
      <c r="U111" s="167"/>
    </row>
    <row r="112" spans="2:21" ht="15.75" hidden="1" x14ac:dyDescent="0.25">
      <c r="B112" s="876"/>
      <c r="C112" s="167"/>
      <c r="D112" s="167"/>
      <c r="E112" s="167"/>
      <c r="F112" s="167"/>
      <c r="G112" s="167"/>
      <c r="H112" s="167"/>
      <c r="I112" s="167"/>
      <c r="J112" s="167"/>
      <c r="K112" s="167"/>
      <c r="L112" s="167"/>
      <c r="M112" s="167"/>
      <c r="N112" s="167"/>
      <c r="O112" s="167"/>
      <c r="P112" s="167"/>
      <c r="Q112" s="167"/>
      <c r="R112" s="167"/>
      <c r="S112" s="167"/>
      <c r="T112" s="167"/>
      <c r="U112" s="167"/>
    </row>
    <row r="113" spans="2:21" ht="15.75" hidden="1" x14ac:dyDescent="0.25">
      <c r="B113" s="876"/>
      <c r="C113" s="167"/>
      <c r="D113" s="167"/>
      <c r="E113" s="167"/>
      <c r="F113" s="167"/>
      <c r="G113" s="167"/>
      <c r="H113" s="167"/>
      <c r="I113" s="167"/>
      <c r="J113" s="167"/>
      <c r="K113" s="167"/>
      <c r="L113" s="167"/>
      <c r="M113" s="167"/>
      <c r="N113" s="167"/>
      <c r="O113" s="167"/>
      <c r="P113" s="167"/>
      <c r="Q113" s="167"/>
      <c r="R113" s="167"/>
      <c r="S113" s="167"/>
      <c r="T113" s="167"/>
      <c r="U113" s="167"/>
    </row>
    <row r="114" spans="2:21" ht="15.75" hidden="1" x14ac:dyDescent="0.25">
      <c r="B114" s="876"/>
      <c r="C114" s="167"/>
      <c r="D114" s="167"/>
      <c r="E114" s="167"/>
      <c r="F114" s="167"/>
      <c r="G114" s="167"/>
      <c r="H114" s="167"/>
      <c r="I114" s="167"/>
      <c r="J114" s="167"/>
      <c r="K114" s="167"/>
      <c r="L114" s="167"/>
      <c r="M114" s="167"/>
      <c r="N114" s="167"/>
      <c r="O114" s="167"/>
      <c r="P114" s="167"/>
      <c r="Q114" s="167"/>
      <c r="R114" s="167"/>
      <c r="S114" s="167"/>
      <c r="T114" s="167"/>
      <c r="U114" s="167"/>
    </row>
    <row r="115" spans="2:21" ht="15.75" hidden="1" x14ac:dyDescent="0.25">
      <c r="B115" s="876"/>
      <c r="C115" s="167"/>
      <c r="D115" s="167"/>
      <c r="E115" s="167"/>
      <c r="F115" s="167"/>
      <c r="G115" s="167"/>
      <c r="H115" s="167"/>
      <c r="I115" s="167"/>
      <c r="J115" s="167"/>
      <c r="K115" s="167"/>
      <c r="L115" s="167"/>
      <c r="M115" s="167"/>
      <c r="N115" s="167"/>
      <c r="O115" s="167"/>
      <c r="P115" s="167"/>
      <c r="Q115" s="167"/>
      <c r="R115" s="167"/>
      <c r="S115" s="167"/>
      <c r="T115" s="167"/>
      <c r="U115" s="167"/>
    </row>
    <row r="116" spans="2:21" ht="15.75" hidden="1" x14ac:dyDescent="0.25">
      <c r="B116" s="876"/>
      <c r="C116" s="167"/>
      <c r="D116" s="167"/>
      <c r="E116" s="167"/>
      <c r="F116" s="167"/>
      <c r="G116" s="167"/>
      <c r="H116" s="167"/>
      <c r="I116" s="167"/>
      <c r="J116" s="167"/>
      <c r="K116" s="167"/>
      <c r="L116" s="167"/>
      <c r="M116" s="167"/>
      <c r="N116" s="167"/>
      <c r="O116" s="167"/>
      <c r="P116" s="167"/>
      <c r="Q116" s="167"/>
      <c r="R116" s="167"/>
      <c r="S116" s="167"/>
      <c r="T116" s="167"/>
      <c r="U116" s="167"/>
    </row>
    <row r="117" spans="2:21" ht="15.75" hidden="1" x14ac:dyDescent="0.25">
      <c r="B117" s="876"/>
      <c r="C117" s="167"/>
      <c r="D117" s="167"/>
      <c r="E117" s="167"/>
      <c r="F117" s="167"/>
      <c r="G117" s="167"/>
      <c r="H117" s="167"/>
      <c r="I117" s="167"/>
      <c r="J117" s="167"/>
      <c r="K117" s="167"/>
      <c r="L117" s="167"/>
      <c r="M117" s="167"/>
      <c r="N117" s="167"/>
      <c r="O117" s="167"/>
      <c r="P117" s="167"/>
      <c r="Q117" s="167"/>
      <c r="R117" s="167"/>
      <c r="S117" s="167"/>
      <c r="T117" s="167"/>
      <c r="U117" s="167"/>
    </row>
    <row r="118" spans="2:21" ht="15.75" hidden="1" x14ac:dyDescent="0.25">
      <c r="B118" s="876"/>
      <c r="C118" s="167"/>
      <c r="D118" s="167"/>
      <c r="E118" s="167"/>
      <c r="F118" s="167"/>
      <c r="G118" s="167"/>
      <c r="H118" s="167"/>
      <c r="I118" s="167"/>
      <c r="J118" s="167"/>
      <c r="K118" s="167"/>
      <c r="L118" s="167"/>
      <c r="M118" s="167"/>
      <c r="N118" s="167"/>
      <c r="O118" s="167"/>
      <c r="P118" s="167"/>
      <c r="Q118" s="167"/>
      <c r="R118" s="167"/>
      <c r="S118" s="167"/>
      <c r="T118" s="167"/>
      <c r="U118" s="167"/>
    </row>
    <row r="119" spans="2:21" ht="15.75" hidden="1" x14ac:dyDescent="0.25">
      <c r="B119" s="876"/>
      <c r="C119" s="167"/>
      <c r="D119" s="167"/>
      <c r="E119" s="167"/>
      <c r="F119" s="167"/>
      <c r="G119" s="167"/>
      <c r="H119" s="167"/>
      <c r="I119" s="167"/>
      <c r="J119" s="167"/>
      <c r="K119" s="167"/>
      <c r="L119" s="167"/>
      <c r="M119" s="167"/>
      <c r="N119" s="167"/>
      <c r="O119" s="167"/>
      <c r="P119" s="167"/>
      <c r="Q119" s="167"/>
      <c r="R119" s="167"/>
      <c r="S119" s="167"/>
      <c r="T119" s="167"/>
      <c r="U119" s="167"/>
    </row>
    <row r="120" spans="2:21" ht="15.75" hidden="1" x14ac:dyDescent="0.25">
      <c r="B120" s="876"/>
      <c r="C120" s="167"/>
      <c r="D120" s="167"/>
      <c r="E120" s="167"/>
      <c r="F120" s="167"/>
      <c r="G120" s="167"/>
      <c r="H120" s="167"/>
      <c r="I120" s="167"/>
      <c r="J120" s="167"/>
      <c r="K120" s="167"/>
      <c r="L120" s="167"/>
      <c r="M120" s="167"/>
      <c r="N120" s="167"/>
      <c r="O120" s="167"/>
      <c r="P120" s="167"/>
      <c r="Q120" s="167"/>
      <c r="R120" s="167"/>
      <c r="S120" s="167"/>
      <c r="T120" s="167"/>
      <c r="U120" s="167"/>
    </row>
    <row r="121" spans="2:21" ht="15.75" hidden="1" x14ac:dyDescent="0.25">
      <c r="B121" s="876"/>
      <c r="C121" s="167"/>
      <c r="D121" s="167"/>
      <c r="E121" s="167"/>
      <c r="F121" s="167"/>
      <c r="G121" s="167"/>
      <c r="H121" s="167"/>
      <c r="I121" s="167"/>
      <c r="J121" s="167"/>
      <c r="K121" s="167"/>
      <c r="L121" s="167"/>
      <c r="M121" s="167"/>
      <c r="N121" s="167"/>
      <c r="O121" s="167"/>
      <c r="P121" s="167"/>
      <c r="Q121" s="167"/>
      <c r="R121" s="167"/>
      <c r="S121" s="167"/>
      <c r="T121" s="167"/>
      <c r="U121" s="167"/>
    </row>
    <row r="122" spans="2:21" ht="15.75" hidden="1" x14ac:dyDescent="0.25">
      <c r="B122" s="876"/>
      <c r="C122" s="167"/>
      <c r="D122" s="167"/>
      <c r="E122" s="167"/>
      <c r="F122" s="167"/>
      <c r="G122" s="167"/>
      <c r="H122" s="167"/>
      <c r="I122" s="167"/>
      <c r="J122" s="167"/>
      <c r="K122" s="167"/>
      <c r="L122" s="167"/>
      <c r="M122" s="167"/>
      <c r="N122" s="167"/>
      <c r="O122" s="167"/>
      <c r="P122" s="167"/>
      <c r="Q122" s="167"/>
      <c r="R122" s="167"/>
      <c r="S122" s="167"/>
      <c r="T122" s="167"/>
      <c r="U122" s="167"/>
    </row>
    <row r="123" spans="2:21" ht="15.75" hidden="1" x14ac:dyDescent="0.25">
      <c r="B123" s="876"/>
      <c r="C123" s="167"/>
      <c r="D123" s="167"/>
      <c r="E123" s="167"/>
      <c r="F123" s="167"/>
      <c r="G123" s="167"/>
      <c r="H123" s="167"/>
      <c r="I123" s="167"/>
      <c r="J123" s="167"/>
      <c r="K123" s="167"/>
      <c r="L123" s="167"/>
      <c r="M123" s="167"/>
      <c r="N123" s="167"/>
      <c r="O123" s="167"/>
      <c r="P123" s="167"/>
      <c r="Q123" s="167"/>
      <c r="R123" s="167"/>
      <c r="S123" s="167"/>
      <c r="T123" s="167"/>
      <c r="U123" s="167"/>
    </row>
    <row r="124" spans="2:21" ht="15.75" hidden="1" x14ac:dyDescent="0.25">
      <c r="B124" s="876"/>
      <c r="C124" s="167"/>
      <c r="D124" s="167"/>
      <c r="E124" s="167"/>
      <c r="F124" s="167"/>
      <c r="G124" s="167"/>
      <c r="H124" s="167"/>
      <c r="I124" s="167"/>
      <c r="J124" s="167"/>
      <c r="K124" s="167"/>
      <c r="L124" s="167"/>
      <c r="M124" s="167"/>
      <c r="N124" s="167"/>
      <c r="O124" s="167"/>
      <c r="P124" s="167"/>
      <c r="Q124" s="167"/>
      <c r="R124" s="167"/>
      <c r="S124" s="167"/>
      <c r="T124" s="167"/>
      <c r="U124" s="167"/>
    </row>
    <row r="125" spans="2:21" ht="15.75" hidden="1" x14ac:dyDescent="0.25">
      <c r="B125" s="876"/>
      <c r="C125" s="167"/>
      <c r="D125" s="167"/>
      <c r="E125" s="167"/>
      <c r="F125" s="167"/>
      <c r="G125" s="167"/>
      <c r="H125" s="167"/>
      <c r="I125" s="167"/>
      <c r="J125" s="167"/>
      <c r="K125" s="167"/>
      <c r="L125" s="167"/>
      <c r="M125" s="167"/>
      <c r="N125" s="167"/>
      <c r="O125" s="167"/>
      <c r="P125" s="167"/>
      <c r="Q125" s="167"/>
      <c r="R125" s="167"/>
      <c r="S125" s="167"/>
      <c r="T125" s="167"/>
      <c r="U125" s="167"/>
    </row>
    <row r="126" spans="2:21" ht="15.75" hidden="1" x14ac:dyDescent="0.25">
      <c r="B126" s="876"/>
      <c r="C126" s="167"/>
      <c r="D126" s="167"/>
      <c r="E126" s="167"/>
      <c r="F126" s="167"/>
      <c r="G126" s="167"/>
      <c r="H126" s="167"/>
      <c r="I126" s="167"/>
      <c r="J126" s="167"/>
      <c r="K126" s="167"/>
      <c r="L126" s="167"/>
      <c r="M126" s="167"/>
      <c r="N126" s="167"/>
      <c r="O126" s="167"/>
      <c r="P126" s="167"/>
      <c r="Q126" s="167"/>
      <c r="R126" s="167"/>
      <c r="S126" s="167"/>
      <c r="T126" s="167"/>
      <c r="U126" s="167"/>
    </row>
    <row r="127" spans="2:21" ht="15.75" hidden="1" x14ac:dyDescent="0.25">
      <c r="B127" s="876"/>
      <c r="C127" s="167"/>
      <c r="D127" s="167"/>
      <c r="E127" s="167"/>
      <c r="F127" s="167"/>
      <c r="G127" s="167"/>
      <c r="H127" s="167"/>
      <c r="I127" s="167"/>
      <c r="J127" s="167"/>
      <c r="K127" s="167"/>
      <c r="L127" s="167"/>
      <c r="M127" s="167"/>
      <c r="N127" s="167"/>
      <c r="O127" s="167"/>
      <c r="P127" s="167"/>
      <c r="Q127" s="167"/>
      <c r="R127" s="167"/>
      <c r="S127" s="167"/>
      <c r="T127" s="167"/>
      <c r="U127" s="167"/>
    </row>
    <row r="128" spans="2:21" ht="15.75" hidden="1" x14ac:dyDescent="0.25">
      <c r="B128" s="876"/>
      <c r="C128" s="167"/>
      <c r="D128" s="167"/>
      <c r="E128" s="167"/>
      <c r="F128" s="167"/>
      <c r="G128" s="167"/>
      <c r="H128" s="167"/>
      <c r="I128" s="167"/>
      <c r="J128" s="167"/>
      <c r="K128" s="167"/>
      <c r="L128" s="167"/>
      <c r="M128" s="167"/>
      <c r="N128" s="167"/>
      <c r="O128" s="167"/>
      <c r="P128" s="167"/>
      <c r="Q128" s="167"/>
      <c r="R128" s="167"/>
      <c r="S128" s="167"/>
      <c r="T128" s="167"/>
      <c r="U128" s="167"/>
    </row>
    <row r="129" spans="2:21" ht="15.75" hidden="1" x14ac:dyDescent="0.25">
      <c r="B129" s="876"/>
      <c r="C129" s="167"/>
      <c r="D129" s="167"/>
      <c r="E129" s="167"/>
      <c r="F129" s="167"/>
      <c r="G129" s="167"/>
      <c r="H129" s="167"/>
      <c r="I129" s="167"/>
      <c r="J129" s="167"/>
      <c r="K129" s="167"/>
      <c r="L129" s="167"/>
      <c r="M129" s="167"/>
      <c r="N129" s="167"/>
      <c r="O129" s="167"/>
      <c r="P129" s="167"/>
      <c r="Q129" s="167"/>
      <c r="R129" s="167"/>
      <c r="S129" s="167"/>
      <c r="T129" s="167"/>
      <c r="U129" s="167"/>
    </row>
    <row r="130" spans="2:21" ht="15.75" hidden="1" x14ac:dyDescent="0.25">
      <c r="B130" s="876"/>
      <c r="C130" s="167"/>
      <c r="D130" s="167"/>
      <c r="E130" s="167"/>
      <c r="F130" s="167"/>
      <c r="G130" s="167"/>
      <c r="H130" s="167"/>
      <c r="I130" s="167"/>
      <c r="J130" s="167"/>
      <c r="K130" s="167"/>
      <c r="L130" s="167"/>
      <c r="M130" s="167"/>
      <c r="N130" s="167"/>
      <c r="O130" s="167"/>
      <c r="P130" s="167"/>
      <c r="Q130" s="167"/>
      <c r="R130" s="167"/>
      <c r="S130" s="167"/>
      <c r="T130" s="167"/>
      <c r="U130" s="167"/>
    </row>
    <row r="131" spans="2:21" ht="15.75" hidden="1" x14ac:dyDescent="0.25">
      <c r="B131" s="876"/>
      <c r="C131" s="167"/>
      <c r="D131" s="167"/>
      <c r="E131" s="167"/>
      <c r="F131" s="167"/>
      <c r="G131" s="167"/>
      <c r="H131" s="167"/>
      <c r="I131" s="167"/>
      <c r="J131" s="167"/>
      <c r="K131" s="167"/>
      <c r="L131" s="167"/>
      <c r="M131" s="167"/>
      <c r="N131" s="167"/>
      <c r="O131" s="167"/>
      <c r="P131" s="167"/>
      <c r="Q131" s="167"/>
      <c r="R131" s="167"/>
      <c r="S131" s="167"/>
      <c r="T131" s="167"/>
      <c r="U131" s="167"/>
    </row>
    <row r="132" spans="2:21" ht="15.75" hidden="1" x14ac:dyDescent="0.25">
      <c r="B132" s="876"/>
      <c r="C132" s="167"/>
      <c r="D132" s="167"/>
      <c r="E132" s="167"/>
      <c r="F132" s="167"/>
      <c r="G132" s="167"/>
      <c r="H132" s="167"/>
      <c r="I132" s="167"/>
      <c r="J132" s="167"/>
      <c r="K132" s="167"/>
      <c r="L132" s="167"/>
      <c r="M132" s="167"/>
      <c r="N132" s="167"/>
      <c r="O132" s="167"/>
      <c r="P132" s="167"/>
      <c r="Q132" s="167"/>
      <c r="R132" s="167"/>
      <c r="S132" s="167"/>
      <c r="T132" s="167"/>
      <c r="U132" s="167"/>
    </row>
    <row r="133" spans="2:21" ht="15.75" hidden="1" x14ac:dyDescent="0.25">
      <c r="B133" s="876"/>
      <c r="C133" s="167"/>
      <c r="D133" s="167"/>
      <c r="E133" s="167"/>
      <c r="F133" s="167"/>
      <c r="G133" s="167"/>
      <c r="H133" s="167"/>
      <c r="I133" s="167"/>
      <c r="J133" s="167"/>
      <c r="K133" s="167"/>
      <c r="L133" s="167"/>
      <c r="M133" s="167"/>
      <c r="N133" s="167"/>
      <c r="O133" s="167"/>
      <c r="P133" s="167"/>
      <c r="Q133" s="167"/>
      <c r="R133" s="167"/>
      <c r="S133" s="167"/>
      <c r="T133" s="167"/>
      <c r="U133" s="167"/>
    </row>
    <row r="134" spans="2:21" ht="15.75" hidden="1" x14ac:dyDescent="0.25">
      <c r="B134" s="876"/>
      <c r="C134" s="167"/>
      <c r="D134" s="167"/>
      <c r="E134" s="167"/>
      <c r="F134" s="167"/>
      <c r="G134" s="167"/>
      <c r="H134" s="167"/>
      <c r="I134" s="167"/>
      <c r="J134" s="167"/>
      <c r="K134" s="167"/>
      <c r="L134" s="167"/>
      <c r="M134" s="167"/>
      <c r="N134" s="167"/>
      <c r="O134" s="167"/>
      <c r="P134" s="167"/>
      <c r="Q134" s="167"/>
      <c r="R134" s="167"/>
      <c r="S134" s="167"/>
      <c r="T134" s="167"/>
      <c r="U134" s="167"/>
    </row>
    <row r="135" spans="2:21" ht="15.75" hidden="1" x14ac:dyDescent="0.25">
      <c r="B135" s="876"/>
      <c r="C135" s="167"/>
      <c r="D135" s="167"/>
      <c r="E135" s="167"/>
      <c r="F135" s="167"/>
      <c r="G135" s="167"/>
      <c r="H135" s="167"/>
      <c r="I135" s="167"/>
      <c r="J135" s="167"/>
      <c r="K135" s="167"/>
      <c r="L135" s="167"/>
      <c r="M135" s="167"/>
      <c r="N135" s="167"/>
      <c r="O135" s="167"/>
      <c r="P135" s="167"/>
      <c r="Q135" s="167"/>
      <c r="R135" s="167"/>
      <c r="S135" s="167"/>
      <c r="T135" s="167"/>
      <c r="U135" s="167"/>
    </row>
    <row r="136" spans="2:21" ht="15.75" hidden="1" x14ac:dyDescent="0.25">
      <c r="B136" s="876"/>
      <c r="C136" s="167"/>
      <c r="D136" s="167"/>
      <c r="E136" s="167"/>
      <c r="F136" s="167"/>
      <c r="G136" s="167"/>
      <c r="H136" s="167"/>
      <c r="I136" s="167"/>
      <c r="J136" s="167"/>
      <c r="K136" s="167"/>
      <c r="L136" s="167"/>
      <c r="M136" s="167"/>
      <c r="N136" s="167"/>
      <c r="O136" s="167"/>
      <c r="P136" s="167"/>
      <c r="Q136" s="167"/>
      <c r="R136" s="167"/>
      <c r="S136" s="167"/>
      <c r="T136" s="167"/>
      <c r="U136" s="167"/>
    </row>
    <row r="137" spans="2:21" ht="15.75" hidden="1" x14ac:dyDescent="0.25">
      <c r="B137" s="876"/>
      <c r="C137" s="167"/>
      <c r="D137" s="167"/>
      <c r="E137" s="167"/>
      <c r="F137" s="167"/>
      <c r="G137" s="167"/>
      <c r="H137" s="167"/>
      <c r="I137" s="167"/>
      <c r="J137" s="167"/>
      <c r="K137" s="167"/>
      <c r="L137" s="167"/>
      <c r="M137" s="167"/>
      <c r="N137" s="167"/>
      <c r="O137" s="167"/>
      <c r="P137" s="167"/>
      <c r="Q137" s="167"/>
      <c r="R137" s="167"/>
      <c r="S137" s="167"/>
      <c r="T137" s="167"/>
      <c r="U137" s="167"/>
    </row>
    <row r="138" spans="2:21" ht="15.75" hidden="1" x14ac:dyDescent="0.25">
      <c r="B138" s="876"/>
      <c r="C138" s="167"/>
      <c r="D138" s="167"/>
      <c r="E138" s="167"/>
      <c r="F138" s="167"/>
      <c r="G138" s="167"/>
      <c r="H138" s="167"/>
      <c r="I138" s="167"/>
      <c r="J138" s="167"/>
      <c r="K138" s="167"/>
      <c r="L138" s="167"/>
      <c r="M138" s="167"/>
      <c r="N138" s="167"/>
      <c r="O138" s="167"/>
      <c r="P138" s="167"/>
      <c r="Q138" s="167"/>
      <c r="R138" s="167"/>
      <c r="S138" s="167"/>
      <c r="T138" s="167"/>
      <c r="U138" s="167"/>
    </row>
    <row r="139" spans="2:21" ht="15.75" hidden="1" x14ac:dyDescent="0.25">
      <c r="B139" s="876"/>
      <c r="C139" s="167"/>
      <c r="D139" s="167"/>
      <c r="E139" s="167"/>
      <c r="F139" s="167"/>
      <c r="G139" s="167"/>
      <c r="H139" s="167"/>
      <c r="I139" s="167"/>
      <c r="J139" s="167"/>
      <c r="K139" s="167"/>
      <c r="L139" s="167"/>
      <c r="M139" s="167"/>
      <c r="N139" s="167"/>
      <c r="O139" s="167"/>
      <c r="P139" s="167"/>
      <c r="Q139" s="167"/>
      <c r="R139" s="167"/>
      <c r="S139" s="167"/>
      <c r="T139" s="167"/>
      <c r="U139" s="167"/>
    </row>
    <row r="140" spans="2:21" ht="15.75" hidden="1" x14ac:dyDescent="0.25">
      <c r="B140" s="876"/>
      <c r="C140" s="167"/>
      <c r="D140" s="167"/>
      <c r="E140" s="167"/>
      <c r="F140" s="167"/>
      <c r="G140" s="167"/>
      <c r="H140" s="167"/>
      <c r="I140" s="167"/>
      <c r="J140" s="167"/>
      <c r="K140" s="167"/>
      <c r="L140" s="167"/>
      <c r="M140" s="167"/>
      <c r="N140" s="167"/>
      <c r="O140" s="167"/>
      <c r="P140" s="167"/>
      <c r="Q140" s="167"/>
      <c r="R140" s="167"/>
      <c r="S140" s="167"/>
      <c r="T140" s="167"/>
      <c r="U140" s="167"/>
    </row>
    <row r="141" spans="2:21" ht="15.75" hidden="1" x14ac:dyDescent="0.25">
      <c r="B141" s="876"/>
      <c r="C141" s="167"/>
      <c r="D141" s="167"/>
      <c r="E141" s="167"/>
      <c r="F141" s="167"/>
      <c r="G141" s="167"/>
      <c r="H141" s="167"/>
      <c r="I141" s="167"/>
      <c r="J141" s="167"/>
      <c r="K141" s="167"/>
      <c r="L141" s="167"/>
      <c r="M141" s="167"/>
      <c r="N141" s="167"/>
      <c r="O141" s="167"/>
      <c r="P141" s="167"/>
      <c r="Q141" s="167"/>
      <c r="R141" s="167"/>
      <c r="S141" s="167"/>
      <c r="T141" s="167"/>
      <c r="U141" s="167"/>
    </row>
    <row r="142" spans="2:21" ht="15.75" hidden="1" x14ac:dyDescent="0.25">
      <c r="B142" s="876"/>
      <c r="C142" s="167"/>
      <c r="D142" s="167"/>
      <c r="E142" s="167"/>
      <c r="F142" s="167"/>
      <c r="G142" s="167"/>
      <c r="H142" s="167"/>
      <c r="I142" s="167"/>
      <c r="J142" s="167"/>
      <c r="K142" s="167"/>
      <c r="L142" s="167"/>
      <c r="M142" s="167"/>
      <c r="N142" s="167"/>
      <c r="O142" s="167"/>
      <c r="P142" s="167"/>
      <c r="Q142" s="167"/>
      <c r="R142" s="167"/>
      <c r="S142" s="167"/>
      <c r="T142" s="167"/>
      <c r="U142" s="167"/>
    </row>
    <row r="143" spans="2:21" ht="15.75" hidden="1" x14ac:dyDescent="0.25">
      <c r="B143" s="876"/>
      <c r="C143" s="167"/>
      <c r="D143" s="167"/>
      <c r="E143" s="167"/>
      <c r="F143" s="167"/>
      <c r="G143" s="167"/>
      <c r="H143" s="167"/>
      <c r="I143" s="167"/>
      <c r="J143" s="167"/>
      <c r="K143" s="167"/>
      <c r="L143" s="167"/>
      <c r="M143" s="167"/>
      <c r="N143" s="167"/>
      <c r="O143" s="167"/>
      <c r="P143" s="167"/>
      <c r="Q143" s="167"/>
      <c r="R143" s="167"/>
      <c r="S143" s="167"/>
      <c r="T143" s="167"/>
      <c r="U143" s="167"/>
    </row>
    <row r="144" spans="2:21" ht="15.75" hidden="1" x14ac:dyDescent="0.25">
      <c r="B144" s="876"/>
      <c r="C144" s="167"/>
      <c r="D144" s="167"/>
      <c r="E144" s="167"/>
      <c r="F144" s="167"/>
      <c r="G144" s="167"/>
      <c r="H144" s="167"/>
      <c r="I144" s="167"/>
      <c r="J144" s="167"/>
      <c r="K144" s="167"/>
      <c r="L144" s="167"/>
      <c r="M144" s="167"/>
      <c r="N144" s="167"/>
      <c r="O144" s="167"/>
      <c r="P144" s="167"/>
      <c r="Q144" s="167"/>
      <c r="R144" s="167"/>
      <c r="S144" s="167"/>
      <c r="T144" s="167"/>
      <c r="U144" s="167"/>
    </row>
    <row r="145" spans="2:21" ht="15.75" hidden="1" x14ac:dyDescent="0.25">
      <c r="B145" s="876"/>
      <c r="C145" s="167"/>
      <c r="D145" s="167"/>
      <c r="E145" s="167"/>
      <c r="F145" s="167"/>
      <c r="G145" s="167"/>
      <c r="H145" s="167"/>
      <c r="I145" s="167"/>
      <c r="J145" s="167"/>
      <c r="K145" s="167"/>
      <c r="L145" s="167"/>
      <c r="M145" s="167"/>
      <c r="N145" s="167"/>
      <c r="O145" s="167"/>
      <c r="P145" s="167"/>
      <c r="Q145" s="167"/>
      <c r="R145" s="167"/>
      <c r="S145" s="167"/>
      <c r="T145" s="167"/>
      <c r="U145" s="167"/>
    </row>
    <row r="146" spans="2:21" ht="15.75" hidden="1" x14ac:dyDescent="0.25">
      <c r="B146" s="876"/>
      <c r="C146" s="167"/>
      <c r="D146" s="167"/>
      <c r="E146" s="167"/>
      <c r="F146" s="167"/>
      <c r="G146" s="167"/>
      <c r="H146" s="167"/>
      <c r="I146" s="167"/>
      <c r="J146" s="167"/>
      <c r="K146" s="167"/>
      <c r="L146" s="167"/>
      <c r="M146" s="167"/>
      <c r="N146" s="167"/>
      <c r="O146" s="167"/>
      <c r="P146" s="167"/>
      <c r="Q146" s="167"/>
      <c r="R146" s="167"/>
      <c r="S146" s="167"/>
      <c r="T146" s="167"/>
      <c r="U146" s="167"/>
    </row>
    <row r="147" spans="2:21" ht="15.75" hidden="1" x14ac:dyDescent="0.25">
      <c r="B147" s="876"/>
      <c r="C147" s="167"/>
      <c r="D147" s="167"/>
      <c r="E147" s="167"/>
      <c r="F147" s="167"/>
      <c r="G147" s="167"/>
      <c r="H147" s="167"/>
      <c r="I147" s="167"/>
      <c r="J147" s="167"/>
      <c r="K147" s="167"/>
      <c r="L147" s="167"/>
      <c r="M147" s="167"/>
      <c r="N147" s="167"/>
      <c r="O147" s="167"/>
      <c r="P147" s="167"/>
      <c r="Q147" s="167"/>
      <c r="R147" s="167"/>
      <c r="S147" s="167"/>
      <c r="T147" s="167"/>
      <c r="U147" s="167"/>
    </row>
    <row r="148" spans="2:21" ht="15.75" hidden="1" x14ac:dyDescent="0.25">
      <c r="B148" s="876"/>
      <c r="C148" s="167"/>
      <c r="D148" s="167"/>
      <c r="E148" s="167"/>
      <c r="F148" s="167"/>
      <c r="G148" s="167"/>
      <c r="H148" s="167"/>
      <c r="I148" s="167"/>
      <c r="J148" s="167"/>
      <c r="K148" s="167"/>
      <c r="L148" s="167"/>
      <c r="M148" s="167"/>
      <c r="N148" s="167"/>
      <c r="O148" s="167"/>
      <c r="P148" s="167"/>
      <c r="Q148" s="167"/>
      <c r="R148" s="167"/>
      <c r="S148" s="167"/>
      <c r="T148" s="167"/>
      <c r="U148" s="167"/>
    </row>
    <row r="149" spans="2:21" ht="15.75" hidden="1" x14ac:dyDescent="0.25">
      <c r="B149" s="876"/>
      <c r="C149" s="167"/>
      <c r="D149" s="167"/>
      <c r="E149" s="167"/>
      <c r="F149" s="167"/>
      <c r="G149" s="167"/>
      <c r="H149" s="167"/>
      <c r="I149" s="167"/>
      <c r="J149" s="167"/>
      <c r="K149" s="167"/>
      <c r="L149" s="167"/>
      <c r="M149" s="167"/>
      <c r="N149" s="167"/>
      <c r="O149" s="167"/>
      <c r="P149" s="167"/>
      <c r="Q149" s="167"/>
      <c r="R149" s="167"/>
      <c r="S149" s="167"/>
      <c r="T149" s="167"/>
      <c r="U149" s="167"/>
    </row>
    <row r="150" spans="2:21" ht="15.75" hidden="1" x14ac:dyDescent="0.25">
      <c r="B150" s="876"/>
      <c r="C150" s="167"/>
      <c r="D150" s="167"/>
      <c r="E150" s="167"/>
      <c r="F150" s="167"/>
      <c r="G150" s="167"/>
      <c r="H150" s="167"/>
      <c r="I150" s="167"/>
      <c r="J150" s="167"/>
      <c r="K150" s="167"/>
      <c r="L150" s="167"/>
      <c r="M150" s="167"/>
      <c r="N150" s="167"/>
      <c r="O150" s="167"/>
      <c r="P150" s="167"/>
      <c r="Q150" s="167"/>
      <c r="R150" s="167"/>
      <c r="S150" s="167"/>
      <c r="T150" s="167"/>
      <c r="U150" s="167"/>
    </row>
    <row r="151" spans="2:21" ht="15.75" hidden="1" x14ac:dyDescent="0.25">
      <c r="B151" s="876"/>
      <c r="C151" s="167"/>
      <c r="D151" s="167"/>
      <c r="E151" s="167"/>
      <c r="F151" s="167"/>
      <c r="G151" s="167"/>
      <c r="H151" s="167"/>
      <c r="I151" s="167"/>
      <c r="J151" s="167"/>
      <c r="K151" s="167"/>
      <c r="L151" s="167"/>
      <c r="M151" s="167"/>
      <c r="N151" s="167"/>
      <c r="O151" s="167"/>
      <c r="P151" s="167"/>
      <c r="Q151" s="167"/>
      <c r="R151" s="167"/>
      <c r="S151" s="167"/>
      <c r="T151" s="167"/>
      <c r="U151" s="167"/>
    </row>
    <row r="152" spans="2:21" ht="15.75" hidden="1" x14ac:dyDescent="0.25">
      <c r="B152" s="876"/>
      <c r="C152" s="167"/>
      <c r="D152" s="167"/>
      <c r="E152" s="167"/>
      <c r="F152" s="167"/>
      <c r="G152" s="167"/>
      <c r="H152" s="167"/>
      <c r="I152" s="167"/>
      <c r="J152" s="167"/>
      <c r="K152" s="167"/>
      <c r="L152" s="167"/>
      <c r="M152" s="167"/>
      <c r="N152" s="167"/>
      <c r="O152" s="167"/>
      <c r="P152" s="167"/>
      <c r="Q152" s="167"/>
      <c r="R152" s="167"/>
      <c r="S152" s="167"/>
      <c r="T152" s="167"/>
      <c r="U152" s="167"/>
    </row>
    <row r="153" spans="2:21" ht="15.75" hidden="1" x14ac:dyDescent="0.25">
      <c r="B153" s="876"/>
      <c r="C153" s="167"/>
      <c r="D153" s="167"/>
      <c r="E153" s="167"/>
      <c r="F153" s="167"/>
      <c r="G153" s="167"/>
      <c r="H153" s="167"/>
      <c r="I153" s="167"/>
      <c r="J153" s="167"/>
      <c r="K153" s="167"/>
      <c r="L153" s="167"/>
      <c r="M153" s="167"/>
      <c r="N153" s="167"/>
      <c r="O153" s="167"/>
      <c r="P153" s="167"/>
      <c r="Q153" s="167"/>
      <c r="R153" s="167"/>
      <c r="S153" s="167"/>
      <c r="T153" s="167"/>
      <c r="U153" s="167"/>
    </row>
    <row r="154" spans="2:21" ht="15.75" hidden="1" x14ac:dyDescent="0.25">
      <c r="B154" s="876"/>
      <c r="C154" s="167"/>
      <c r="D154" s="167"/>
      <c r="E154" s="167"/>
      <c r="F154" s="167"/>
      <c r="G154" s="167"/>
      <c r="H154" s="167"/>
      <c r="I154" s="167"/>
      <c r="J154" s="167"/>
      <c r="K154" s="167"/>
      <c r="L154" s="167"/>
      <c r="M154" s="167"/>
      <c r="N154" s="167"/>
      <c r="O154" s="167"/>
      <c r="P154" s="167"/>
      <c r="Q154" s="167"/>
      <c r="R154" s="167"/>
      <c r="S154" s="167"/>
      <c r="T154" s="167"/>
      <c r="U154" s="167"/>
    </row>
    <row r="155" spans="2:21" ht="15.75" hidden="1" x14ac:dyDescent="0.25">
      <c r="B155" s="876"/>
      <c r="C155" s="167"/>
      <c r="D155" s="167"/>
      <c r="E155" s="167"/>
      <c r="F155" s="167"/>
      <c r="G155" s="167"/>
      <c r="H155" s="167"/>
      <c r="I155" s="167"/>
      <c r="J155" s="167"/>
      <c r="K155" s="167"/>
      <c r="L155" s="167"/>
      <c r="M155" s="167"/>
      <c r="N155" s="167"/>
      <c r="O155" s="167"/>
      <c r="P155" s="167"/>
      <c r="Q155" s="167"/>
      <c r="R155" s="167"/>
      <c r="S155" s="167"/>
      <c r="T155" s="167"/>
      <c r="U155" s="167"/>
    </row>
    <row r="156" spans="2:21" ht="15.75" hidden="1" x14ac:dyDescent="0.25">
      <c r="B156" s="876"/>
      <c r="C156" s="167"/>
      <c r="D156" s="167"/>
      <c r="E156" s="167"/>
      <c r="F156" s="167"/>
      <c r="G156" s="167"/>
      <c r="H156" s="167"/>
      <c r="I156" s="167"/>
      <c r="J156" s="167"/>
      <c r="K156" s="167"/>
      <c r="L156" s="167"/>
      <c r="M156" s="167"/>
      <c r="N156" s="167"/>
      <c r="O156" s="167"/>
      <c r="P156" s="167"/>
      <c r="Q156" s="167"/>
      <c r="R156" s="167"/>
      <c r="S156" s="167"/>
      <c r="T156" s="167"/>
      <c r="U156" s="167"/>
    </row>
    <row r="157" spans="2:21" ht="15.75" hidden="1" x14ac:dyDescent="0.25">
      <c r="B157" s="876"/>
      <c r="C157" s="167"/>
      <c r="D157" s="167"/>
      <c r="E157" s="167"/>
      <c r="F157" s="167"/>
      <c r="G157" s="167"/>
      <c r="H157" s="167"/>
      <c r="I157" s="167"/>
      <c r="J157" s="167"/>
      <c r="K157" s="167"/>
      <c r="L157" s="167"/>
      <c r="M157" s="167"/>
      <c r="N157" s="167"/>
      <c r="O157" s="167"/>
      <c r="P157" s="167"/>
      <c r="Q157" s="167"/>
      <c r="R157" s="167"/>
      <c r="S157" s="167"/>
      <c r="T157" s="167"/>
      <c r="U157" s="167"/>
    </row>
    <row r="158" spans="2:21" ht="15.75" hidden="1" x14ac:dyDescent="0.25">
      <c r="B158" s="876"/>
      <c r="C158" s="167"/>
      <c r="D158" s="167"/>
      <c r="E158" s="167"/>
      <c r="F158" s="167"/>
      <c r="G158" s="167"/>
      <c r="H158" s="167"/>
      <c r="I158" s="167"/>
      <c r="J158" s="167"/>
      <c r="K158" s="167"/>
      <c r="L158" s="167"/>
      <c r="M158" s="167"/>
      <c r="N158" s="167"/>
      <c r="O158" s="167"/>
      <c r="P158" s="167"/>
      <c r="Q158" s="167"/>
      <c r="R158" s="167"/>
      <c r="S158" s="167"/>
      <c r="T158" s="167"/>
      <c r="U158" s="167"/>
    </row>
    <row r="159" spans="2:21" ht="15.75" hidden="1" x14ac:dyDescent="0.25">
      <c r="B159" s="876"/>
      <c r="C159" s="167"/>
      <c r="D159" s="167"/>
      <c r="E159" s="167"/>
      <c r="F159" s="167"/>
      <c r="G159" s="167"/>
      <c r="H159" s="167"/>
      <c r="I159" s="167"/>
      <c r="J159" s="167"/>
      <c r="K159" s="167"/>
      <c r="L159" s="167"/>
      <c r="M159" s="167"/>
      <c r="N159" s="167"/>
      <c r="O159" s="167"/>
      <c r="P159" s="167"/>
      <c r="Q159" s="167"/>
      <c r="R159" s="167"/>
      <c r="S159" s="167"/>
      <c r="T159" s="167"/>
      <c r="U159" s="167"/>
    </row>
    <row r="160" spans="2:21" ht="15.75" hidden="1" x14ac:dyDescent="0.25">
      <c r="B160" s="876"/>
      <c r="C160" s="167"/>
      <c r="D160" s="167"/>
      <c r="E160" s="167"/>
      <c r="F160" s="167"/>
      <c r="G160" s="167"/>
      <c r="H160" s="167"/>
      <c r="I160" s="167"/>
      <c r="J160" s="167"/>
      <c r="K160" s="167"/>
      <c r="L160" s="167"/>
      <c r="M160" s="167"/>
      <c r="N160" s="167"/>
      <c r="O160" s="167"/>
      <c r="P160" s="167"/>
      <c r="Q160" s="167"/>
      <c r="R160" s="167"/>
      <c r="S160" s="167"/>
      <c r="T160" s="167"/>
      <c r="U160" s="167"/>
    </row>
    <row r="161" spans="2:21" ht="15.75" hidden="1" x14ac:dyDescent="0.25">
      <c r="B161" s="876"/>
      <c r="C161" s="167"/>
      <c r="D161" s="167"/>
      <c r="E161" s="167"/>
      <c r="F161" s="167"/>
      <c r="G161" s="167"/>
      <c r="H161" s="167"/>
      <c r="I161" s="167"/>
      <c r="J161" s="167"/>
      <c r="K161" s="167"/>
      <c r="L161" s="167"/>
      <c r="M161" s="167"/>
      <c r="N161" s="167"/>
      <c r="O161" s="167"/>
      <c r="P161" s="167"/>
      <c r="Q161" s="167"/>
      <c r="R161" s="167"/>
      <c r="S161" s="167"/>
      <c r="T161" s="167"/>
      <c r="U161" s="167"/>
    </row>
    <row r="162" spans="2:21" ht="15.75" hidden="1" x14ac:dyDescent="0.25">
      <c r="B162" s="876"/>
      <c r="C162" s="167"/>
      <c r="D162" s="167"/>
      <c r="E162" s="167"/>
      <c r="F162" s="167"/>
      <c r="G162" s="167"/>
      <c r="H162" s="167"/>
      <c r="I162" s="167"/>
      <c r="J162" s="167"/>
      <c r="K162" s="167"/>
      <c r="L162" s="167"/>
      <c r="M162" s="167"/>
      <c r="N162" s="167"/>
      <c r="O162" s="167"/>
      <c r="P162" s="167"/>
      <c r="Q162" s="167"/>
      <c r="R162" s="167"/>
      <c r="S162" s="167"/>
      <c r="T162" s="167"/>
      <c r="U162" s="167"/>
    </row>
    <row r="163" spans="2:21" ht="15.75" hidden="1" x14ac:dyDescent="0.25">
      <c r="B163" s="876"/>
      <c r="C163" s="167"/>
      <c r="D163" s="167"/>
      <c r="E163" s="167"/>
      <c r="F163" s="167"/>
      <c r="G163" s="167"/>
      <c r="H163" s="167"/>
      <c r="I163" s="167"/>
      <c r="J163" s="167"/>
      <c r="K163" s="167"/>
      <c r="L163" s="167"/>
      <c r="M163" s="167"/>
      <c r="N163" s="167"/>
      <c r="O163" s="167"/>
      <c r="P163" s="167"/>
      <c r="Q163" s="167"/>
      <c r="R163" s="167"/>
      <c r="S163" s="167"/>
      <c r="T163" s="167"/>
      <c r="U163" s="167"/>
    </row>
    <row r="164" spans="2:21" ht="15.75" hidden="1" x14ac:dyDescent="0.25">
      <c r="B164" s="876"/>
      <c r="C164" s="167"/>
      <c r="D164" s="167"/>
      <c r="E164" s="167"/>
      <c r="F164" s="167"/>
      <c r="G164" s="167"/>
      <c r="H164" s="167"/>
      <c r="I164" s="167"/>
      <c r="J164" s="167"/>
      <c r="K164" s="167"/>
      <c r="L164" s="167"/>
      <c r="M164" s="167"/>
      <c r="N164" s="167"/>
      <c r="O164" s="167"/>
      <c r="P164" s="167"/>
      <c r="Q164" s="167"/>
      <c r="R164" s="167"/>
      <c r="S164" s="167"/>
      <c r="T164" s="167"/>
      <c r="U164" s="167"/>
    </row>
    <row r="165" spans="2:21" ht="15.75" hidden="1" x14ac:dyDescent="0.25">
      <c r="B165" s="876"/>
      <c r="C165" s="167"/>
      <c r="D165" s="167"/>
      <c r="E165" s="167"/>
      <c r="F165" s="167"/>
      <c r="G165" s="167"/>
      <c r="H165" s="167"/>
      <c r="I165" s="167"/>
      <c r="J165" s="167"/>
      <c r="K165" s="167"/>
      <c r="L165" s="167"/>
      <c r="M165" s="167"/>
      <c r="N165" s="167"/>
      <c r="O165" s="167"/>
      <c r="P165" s="167"/>
      <c r="Q165" s="167"/>
      <c r="R165" s="167"/>
      <c r="S165" s="167"/>
      <c r="T165" s="167"/>
      <c r="U165" s="167"/>
    </row>
    <row r="166" spans="2:21" ht="15.75" hidden="1" x14ac:dyDescent="0.25">
      <c r="B166" s="876"/>
      <c r="C166" s="167"/>
      <c r="D166" s="167"/>
      <c r="E166" s="167"/>
      <c r="F166" s="167"/>
      <c r="G166" s="167"/>
      <c r="H166" s="167"/>
      <c r="I166" s="167"/>
      <c r="J166" s="167"/>
      <c r="K166" s="167"/>
      <c r="L166" s="167"/>
      <c r="M166" s="167"/>
      <c r="N166" s="167"/>
      <c r="O166" s="167"/>
      <c r="P166" s="167"/>
      <c r="Q166" s="167"/>
      <c r="R166" s="167"/>
      <c r="S166" s="167"/>
      <c r="T166" s="167"/>
      <c r="U166" s="167"/>
    </row>
    <row r="167" spans="2:21" ht="15.75" hidden="1" x14ac:dyDescent="0.25">
      <c r="B167" s="876"/>
      <c r="C167" s="167"/>
      <c r="D167" s="167"/>
      <c r="E167" s="167"/>
      <c r="F167" s="167"/>
      <c r="G167" s="167"/>
      <c r="H167" s="167"/>
      <c r="I167" s="167"/>
      <c r="J167" s="167"/>
      <c r="K167" s="167"/>
      <c r="L167" s="167"/>
      <c r="M167" s="167"/>
      <c r="N167" s="167"/>
      <c r="O167" s="167"/>
      <c r="P167" s="167"/>
      <c r="Q167" s="167"/>
      <c r="R167" s="167"/>
      <c r="S167" s="167"/>
      <c r="T167" s="167"/>
      <c r="U167" s="167"/>
    </row>
    <row r="168" spans="2:21" ht="15.75" hidden="1" x14ac:dyDescent="0.25">
      <c r="B168" s="876"/>
      <c r="C168" s="167"/>
      <c r="D168" s="167"/>
      <c r="E168" s="167"/>
      <c r="F168" s="167"/>
      <c r="G168" s="167"/>
      <c r="H168" s="167"/>
      <c r="I168" s="167"/>
      <c r="J168" s="167"/>
      <c r="K168" s="167"/>
      <c r="L168" s="167"/>
      <c r="M168" s="167"/>
      <c r="N168" s="167"/>
      <c r="O168" s="167"/>
      <c r="P168" s="167"/>
      <c r="Q168" s="167"/>
      <c r="R168" s="167"/>
      <c r="S168" s="167"/>
      <c r="T168" s="167"/>
      <c r="U168" s="167"/>
    </row>
    <row r="169" spans="2:21" ht="15.75" hidden="1" x14ac:dyDescent="0.25">
      <c r="B169" s="876"/>
      <c r="C169" s="167"/>
      <c r="D169" s="167"/>
      <c r="E169" s="167"/>
      <c r="F169" s="167"/>
      <c r="G169" s="167"/>
      <c r="H169" s="167"/>
      <c r="I169" s="167"/>
      <c r="J169" s="167"/>
      <c r="K169" s="167"/>
      <c r="L169" s="167"/>
      <c r="M169" s="167"/>
      <c r="N169" s="167"/>
      <c r="O169" s="167"/>
      <c r="P169" s="167"/>
      <c r="Q169" s="167"/>
      <c r="R169" s="167"/>
      <c r="S169" s="167"/>
      <c r="T169" s="167"/>
      <c r="U169" s="167"/>
    </row>
    <row r="170" spans="2:21" ht="15.75" hidden="1" x14ac:dyDescent="0.25">
      <c r="B170" s="876"/>
      <c r="C170" s="167"/>
      <c r="D170" s="167"/>
      <c r="E170" s="167"/>
      <c r="F170" s="167"/>
      <c r="G170" s="167"/>
      <c r="H170" s="167"/>
      <c r="I170" s="167"/>
      <c r="J170" s="167"/>
      <c r="K170" s="167"/>
      <c r="L170" s="167"/>
      <c r="M170" s="167"/>
      <c r="N170" s="167"/>
      <c r="O170" s="167"/>
      <c r="P170" s="167"/>
      <c r="Q170" s="167"/>
      <c r="R170" s="167"/>
      <c r="S170" s="167"/>
      <c r="T170" s="167"/>
      <c r="U170" s="167"/>
    </row>
    <row r="171" spans="2:21" ht="15.75" hidden="1" x14ac:dyDescent="0.25">
      <c r="B171" s="876"/>
      <c r="C171" s="167"/>
      <c r="D171" s="167"/>
      <c r="E171" s="167"/>
      <c r="F171" s="167"/>
      <c r="G171" s="167"/>
      <c r="H171" s="167"/>
      <c r="I171" s="167"/>
      <c r="J171" s="167"/>
      <c r="K171" s="167"/>
      <c r="L171" s="167"/>
      <c r="M171" s="167"/>
      <c r="N171" s="167"/>
      <c r="O171" s="167"/>
      <c r="P171" s="167"/>
      <c r="Q171" s="167"/>
      <c r="R171" s="167"/>
      <c r="S171" s="167"/>
      <c r="T171" s="167"/>
      <c r="U171" s="167"/>
    </row>
    <row r="172" spans="2:21" hidden="1" x14ac:dyDescent="0.25"/>
    <row r="173" spans="2:21" hidden="1" x14ac:dyDescent="0.25"/>
    <row r="174" spans="2:21" hidden="1" x14ac:dyDescent="0.25"/>
    <row r="175" spans="2:21" hidden="1" x14ac:dyDescent="0.25"/>
    <row r="176" spans="2:21" hidden="1" x14ac:dyDescent="0.25"/>
    <row r="177" hidden="1" x14ac:dyDescent="0.25"/>
    <row r="178" hidden="1" x14ac:dyDescent="0.25"/>
    <row r="179" hidden="1" x14ac:dyDescent="0.25"/>
    <row r="180" hidden="1" x14ac:dyDescent="0.25"/>
    <row r="181" hidden="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sheetData>
  <sheetProtection algorithmName="SHA-512" hashValue="TtCAdgNFbLJlwsfUuYFnTXI3D9iSidbbrALtC4Em7KZzkmSg7XmSZzJvsSE9/dLVU67gBFCPSozXX40rDRLOGQ==" saltValue="8HYbw8S+2SV/6zHbMlzkfA==" spinCount="100000" sheet="1" objects="1" scenarios="1"/>
  <mergeCells count="65">
    <mergeCell ref="C5:F5"/>
    <mergeCell ref="H5:P5"/>
    <mergeCell ref="C6:F6"/>
    <mergeCell ref="H6:P6"/>
    <mergeCell ref="C7:F7"/>
    <mergeCell ref="H7:P7"/>
    <mergeCell ref="C8:F8"/>
    <mergeCell ref="H8:P8"/>
    <mergeCell ref="C9:F9"/>
    <mergeCell ref="H9:P9"/>
    <mergeCell ref="C10:F10"/>
    <mergeCell ref="H10:P10"/>
    <mergeCell ref="C15:F15"/>
    <mergeCell ref="H15:P15"/>
    <mergeCell ref="C16:F16"/>
    <mergeCell ref="H16:P16"/>
    <mergeCell ref="C11:F11"/>
    <mergeCell ref="H11:P11"/>
    <mergeCell ref="C12:F12"/>
    <mergeCell ref="H12:P12"/>
    <mergeCell ref="C13:F13"/>
    <mergeCell ref="H13:P13"/>
    <mergeCell ref="C14:F14"/>
    <mergeCell ref="H14:P14"/>
    <mergeCell ref="C17:F17"/>
    <mergeCell ref="H17:P17"/>
    <mergeCell ref="C18:F18"/>
    <mergeCell ref="H18:P18"/>
    <mergeCell ref="C19:F19"/>
    <mergeCell ref="H19:P19"/>
    <mergeCell ref="H20:P20"/>
    <mergeCell ref="H21:P21"/>
    <mergeCell ref="H22:P22"/>
    <mergeCell ref="H23:P23"/>
    <mergeCell ref="C20:F20"/>
    <mergeCell ref="C21:F21"/>
    <mergeCell ref="C22:F22"/>
    <mergeCell ref="C23:F23"/>
    <mergeCell ref="H29:P29"/>
    <mergeCell ref="C30:F30"/>
    <mergeCell ref="H30:P30"/>
    <mergeCell ref="C29:F29"/>
    <mergeCell ref="H28:P28"/>
    <mergeCell ref="H26:P26"/>
    <mergeCell ref="H27:P27"/>
    <mergeCell ref="C26:F26"/>
    <mergeCell ref="C27:F27"/>
    <mergeCell ref="C24:F24"/>
    <mergeCell ref="C25:F25"/>
    <mergeCell ref="C34:F34"/>
    <mergeCell ref="C37:F37"/>
    <mergeCell ref="H37:P37"/>
    <mergeCell ref="A1:Q1"/>
    <mergeCell ref="A2:Q3"/>
    <mergeCell ref="C33:F33"/>
    <mergeCell ref="H33:P33"/>
    <mergeCell ref="C35:F35"/>
    <mergeCell ref="H35:P35"/>
    <mergeCell ref="C36:F36"/>
    <mergeCell ref="H36:P36"/>
    <mergeCell ref="C31:F31"/>
    <mergeCell ref="H31:P31"/>
    <mergeCell ref="C32:F32"/>
    <mergeCell ref="H32:P32"/>
    <mergeCell ref="C28:F28"/>
  </mergeCells>
  <hyperlinks>
    <hyperlink ref="C6" location="'E-1 Passive Design'!A1" tooltip="E-1 Passive design" display="E-1 Passive design"/>
    <hyperlink ref="C10:D10" location="'W-1 Water Efficient Fixtures'!A1" tooltip="W-1 Water Efficient Fixtures" display="W-1 Water Efficient Fixtures"/>
    <hyperlink ref="E10:F10" location="'W-1 Water Efficient Fixtures'!A1" tooltip="W-1 Water Efficient Fixtures" display="W-1 Water Efficient Fixtures"/>
    <hyperlink ref="C12:D12" location="'M-1 Building Structure'!A1" tooltip="M-1 Building Structure" display="M-1 Building Structure"/>
    <hyperlink ref="E12:F12" location="'M-1 Building Structure'!A1" tooltip="M-1 Building Structure" display="M-1 Building Structure"/>
    <hyperlink ref="C15" location="'H-1 Fresh Air Supply'!A1" tooltip="H-1 Fresh Air Supply" display="H-1 Fresh Air Supply"/>
    <hyperlink ref="E15" location="'H-1 Fresh Air Supply'!A1" tooltip="H-1 Fresh Air Supply" display="H-1 Fresh Air Supply"/>
    <hyperlink ref="C16" location="'H-2 Ventilation in wet areas'!A1" tooltip="H-2 Ventilation in Wet Areas" display="H-2 Ventilation in Wet Areas"/>
    <hyperlink ref="E16" location="'H-2 Ventilation in wet areas'!A1" tooltip="H-2 Ventilation in Wet Areas" display="H-2 Ventilation in Wet Areas"/>
    <hyperlink ref="C17" location="'H-3 Hazardous Materials'!A1" tooltip="H-3 Hazardous Materials" display="H-3 Hazardous Materials"/>
    <hyperlink ref="E17" location="'H-3 Hazardous Materials'!A1" tooltip="H-3 Hazardous Materials" display="H-3 Hazardous Materials"/>
    <hyperlink ref="C18" location="'H-4 Daylighting'!A1" tooltip="H-4 Daylighting" display="H-4 Daylighting"/>
    <hyperlink ref="E18" location="'H-4 Daylighting'!A1" tooltip="H-4 Daylighting" display="H-4 Daylighting"/>
    <hyperlink ref="C30:D30" location="'LE-4 Heat Island Effect'!A1" tooltip="LE-4 Heat Island Effect" display="LE-4 Heat Island Effect"/>
    <hyperlink ref="E30:F30" location="'LE-4 Heat Island Effect'!A1" tooltip="LE-4 Heat Island Effect" display="LE-4 Heat Island Effect"/>
    <hyperlink ref="C27:D27" location="'LE-1 Site Selection'!A1" tooltip="LE-1 Site Selection" display="LE-1 Site Selection"/>
    <hyperlink ref="C31" location="'CM-1 Design Stage'!A1" tooltip="CM-1 Design Stage" display="CM-1 Design Stage"/>
    <hyperlink ref="E31" location="'CM-1 Design Stage'!A1" tooltip="CM-1 Design Stage" display="CM-1 Design Stage"/>
    <hyperlink ref="C32" location="'CM-2 Construction Management'!A1" tooltip="CM-2 Construction Management" display="CM-2 Construction Management"/>
    <hyperlink ref="E32" location="'CM-2 Construction Management'!A1" tooltip="CM-2 Construction Management" display="CM-2 Construction Management"/>
    <hyperlink ref="C33" location="'CM-3 Operational Management'!A1" tooltip="CM-3 Operational Management" display="CM-3 Operational Management"/>
    <hyperlink ref="E33" location="'CM-3 Operational Management'!A1" tooltip="CM-3 Operational Management" display="CM-3 Operational Management"/>
    <hyperlink ref="C35:D35" location="'CM BPC'!A1" tooltip="Best Practice Credits" display="Best Practice Credits"/>
    <hyperlink ref="E35:F35" location="'CM BPC'!A1" tooltip="Best Practice Credits" display="Best Practice Credits"/>
    <hyperlink ref="C19" location="'H-4 Daylighting'!A1" tooltip="H-4 Daylighting" display="H-4 Daylighting"/>
    <hyperlink ref="E19" location="'H-4 Daylighting'!A1" tooltip="H-4 Daylighting" display="H-4 Daylighting"/>
    <hyperlink ref="C19:F19" location="'H-5 Interior Plants'!A1" tooltip="H-5 Interior Plants" display="Interior Plants"/>
    <hyperlink ref="C36:F36" location="'Inn-1 Exceptional Performance '!A1" tooltip="Inn-1 Exceptional Performance Enhancement" display="Exceptional Performance Enhancement"/>
    <hyperlink ref="C37:F37" location="'Inn-2 Innovative Techniques'!A1" tooltip="Inn-2 Innovative techniques/initiative" display="Innovative techniques/initiative"/>
    <hyperlink ref="C7" location="'E-4 Artificial Lighting'!A1" tooltip="E-4 Artificial Lighting" display="E-4 Artificial Lighting"/>
    <hyperlink ref="E7" location="'E-4 Artificial Lighting'!A1" tooltip="E-4 Artificial Lighting" display="E-4 Artificial Lighting"/>
    <hyperlink ref="C8" location="'E-6 Energy Efficient Appliances'!A1" tooltip="E-6 Energy Efficient Appliances" display="E-6 Energy Efficient Appliances"/>
    <hyperlink ref="E8" location="'E-6 Energy Efficient Appliances'!A1" tooltip="E-6 Energy Efficient Appliances" display="E-6 Energy Efficient Appliances"/>
    <hyperlink ref="C9" location="'E-7 Energy Monitors '!A1" tooltip="E-7 Energy Monitors " display="E-7 Energy Monitors "/>
    <hyperlink ref="E9" location="'E-7 Energy Monitors '!A1" tooltip="E-7 Energy Monitors " display="E-7 Energy Monitors "/>
    <hyperlink ref="C11:D11" location="'W-3 Drinking Water '!A1" tooltip="W-3 Drinking Water " display="W-3 Drinking Water "/>
    <hyperlink ref="E11:F11" location="'W-3 Drinking Water '!A1" tooltip="W-3 Drinking Water " display="W-3 Drinking Water "/>
    <hyperlink ref="C13:D13" location="'M-1 Building Structure'!A1" tooltip="M-1 Building Structure" display="M-1 Building Structure"/>
    <hyperlink ref="E13:F13" location="'M-1 Building Structure'!A1" tooltip="M-1 Building Structure" display="M-1 Building Structure"/>
    <hyperlink ref="C26" location="'H-4 Daylighting'!A1" tooltip="H-4 Daylighting" display="H-4 Daylighting"/>
    <hyperlink ref="C20" location="'H-4 Daylighting'!A1" tooltip="H-4 Daylighting" display="H-4 Daylighting"/>
    <hyperlink ref="C21" location="'H-4 Daylighting'!A1" tooltip="H-4 Daylighting" display="H-4 Daylighting"/>
    <hyperlink ref="C22" location="'H-4 Daylighting'!A1" tooltip="H-4 Daylighting" display="H-4 Daylighting"/>
    <hyperlink ref="C23" location="'H-4 Daylighting'!A1" tooltip="H-4 Daylighting" display="H-4 Daylighting"/>
    <hyperlink ref="E20" location="'H-4 Daylighting'!A1" tooltip="H-4 Daylighting" display="H-4 Daylighting"/>
    <hyperlink ref="E21" location="'H-4 Daylighting'!A1" tooltip="H-4 Daylighting" display="H-4 Daylighting"/>
    <hyperlink ref="E22" location="'H-4 Daylighting'!A1" tooltip="H-4 Daylighting" display="H-4 Daylighting"/>
    <hyperlink ref="E23" location="'H-4 Daylighting'!A1" tooltip="H-4 Daylighting" display="H-4 Daylighting"/>
    <hyperlink ref="C20:F20" location="'H-6 Green Cleaning'!A1" tooltip="H-6 Green Cleaning" display="Green Cleaning"/>
    <hyperlink ref="C21:F21" location="'H-7 Daylighting'!A1" tooltip="H-7 Daylighting" display="Daylighting"/>
    <hyperlink ref="C22:F22" location="'H-8 External Views'!A1" tooltip="H-8 External Views" display="External Views"/>
    <hyperlink ref="C23:F23" location="'H-9 Lighting Comfort'!A1" tooltip="H-9 Lighting Comfort" display="Lighting Comfort"/>
    <hyperlink ref="C24" location="'H-4 Daylighting'!A1" tooltip="H-4 Daylighting" display="H-4 Daylighting"/>
    <hyperlink ref="E24" location="'H-4 Daylighting'!A1" tooltip="H-4 Daylighting" display="H-4 Daylighting"/>
    <hyperlink ref="C24:F24" location="'H-10 Thermal Comfort'!A1" tooltip="H-10 Thermal Comfort" display="Thermal Comfort"/>
    <hyperlink ref="C25" location="'H-4 Daylighting'!A1" tooltip="H-4 Daylighting" display="H-4 Daylighting"/>
    <hyperlink ref="E25" location="'H-4 Daylighting'!A1" tooltip="H-4 Daylighting" display="H-4 Daylighting"/>
    <hyperlink ref="C25:F25" location="'H-11 Acoustic Comfort'!A1" tooltip="H-11 Acoustic Comfort" display="Acoustic Comfort"/>
    <hyperlink ref="C28:D28" location="'LE-1 Site Selection'!A1" tooltip="LE-1 Site Selection" display="LE-1 Site Selection"/>
    <hyperlink ref="C29:D29" location="'LE-1 Site Selection'!A1" tooltip="LE-1 Site Selection" display="LE-1 Site Selection"/>
    <hyperlink ref="C27:F27" location="'LT-1 Base building '!A1" tooltip="LE-1 Site Selection" display="Base Building Green Attributes"/>
    <hyperlink ref="C30:F30" location="'LT-4 Facilities and amenities '!A1" tooltip="LT-4 Facilities and Amenities for Occupants" display="Facilities and Amenities for Occupants"/>
    <hyperlink ref="C29:F29" location="'LT-3 Green Transportation '!A1" tooltip="LT-3 Green Transportation" display="Green Transportation"/>
    <hyperlink ref="C28:F28" location="'LT-2 Tenancy lease'!A1" tooltip="LE-1 Site Selection" display="Tenancy Lease"/>
    <hyperlink ref="C31:F31" location="'Man-1 LOTUS AP'!A1" tooltip="Man-1 LOTUS AP" display="LOTUS AP"/>
    <hyperlink ref="C34:D34" location="'CM BPC'!A1" tooltip="Best Practice Credits" display="Best Practice Credits"/>
    <hyperlink ref="E34:F34" location="'CM BPC'!A1" tooltip="Best Practice Credits" display="Best Practice Credits"/>
    <hyperlink ref="C32:F32" location="'Man-2 Construction Stage'!A1" tooltip="Man-2 Construction Stage" display="Construction Stage"/>
    <hyperlink ref="C33:F33" location="'Man-3 Commissioning'!A1" tooltip="Man-3 Commissioning" display="Commissioning"/>
    <hyperlink ref="C34:F34" location="'Man-4 Maintenance'!A1" tooltip="Best Practice Credits" display="Maintenance"/>
    <hyperlink ref="C35:F35" location="'Man-5 Green Awareness '!A1" tooltip="Man-5 Green Awareness and Behaviour" display="Green Awareness and Behaviour"/>
    <hyperlink ref="C14" location="'H-1 Fresh Air Supply'!A1" tooltip="H-1 Fresh Air Supply" display="H-1 Fresh Air Supply"/>
    <hyperlink ref="E14" location="'H-1 Fresh Air Supply'!A1" tooltip="H-1 Fresh Air Supply" display="H-1 Fresh Air Supply"/>
    <hyperlink ref="C14:F14" location="'H-PR-1 Indoor Smoking'!A1" tooltip="H-PR-1 Indoor Smoking" display="Indoor Smoking"/>
    <hyperlink ref="C15:F15" location="'H-1 Fresh Air Supply'!A1" tooltip="H-1 Fresh Air Supply" display="Fresh Air Supply"/>
    <hyperlink ref="C16:F16" location="'H-2 CO2 Monitoring'!A1" tooltip="H-2 Ventilation in Wet Areas" display="Co2 Monitoring"/>
    <hyperlink ref="C17:F17" location="'H-3 Low-VOC Emissions '!A1" tooltip="H-3 Hazardous Materials" display="Low-VOC Emissions"/>
    <hyperlink ref="C6:F6" location="'E-1 Space cooling'!A1" tooltip="E-1 Space cooling" display="Space cooling"/>
    <hyperlink ref="C7:F7" location="'E-2 Artificial Lighting'!A1" tooltip="E-2 Artificial Lighting" display="Artificial Lighting"/>
    <hyperlink ref="C8:F8" location="'E-3 Energy Efficient Appliances'!A1" tooltip="E-3 Energy Efficient Appliances" display="Energy Efficient Appliances"/>
    <hyperlink ref="C9:F9" location="'E-4 Energy Monitoring'!A1" tooltip="E-4 Energy Monitoring" display="Energy Monitoring"/>
    <hyperlink ref="C13:F13" location="'M-2 Sustainable Furniture'!A1" tooltip="M-2 Sustainable Furniture Products" display="Sustainable Furniture Products"/>
    <hyperlink ref="C12:F12" location="'M-1 Sustainable Materials'!A1" tooltip="M-1 Sustainable Materials " display="Sustainable Materials "/>
    <hyperlink ref="C11:F11" location="'W-2 Drinking Water '!A1" tooltip="W-2 Drinking Water " display="Drinking Water "/>
    <hyperlink ref="C10:F10" location="'W-PR-1 &amp; W-1 Efficient Fixtures'!A1" tooltip="W-1 Water Efficient Fixtures" display="Water Efficient Fixtures"/>
    <hyperlink ref="C18:F18" location="'H-4 Removal of pollutants'!A1" tooltip="H-4 Pre-coccupancy Removal of Pollutants" display="Pre-coccupancy Removal of Pollutants"/>
    <hyperlink ref="C26:F26" location="'H-12 Post-occupancy Comfort'!A1" tooltip="H-12 Post-occupancy Comfort" display="Post-occupancy Comfort"/>
  </hyperlinks>
  <pageMargins left="0.7" right="0.7" top="0.75" bottom="0.75" header="0.3" footer="0.3"/>
  <pageSetup orientation="portrait" horizontalDpi="30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AF00"/>
  </sheetPr>
  <dimension ref="A1:Q479"/>
  <sheetViews>
    <sheetView showRowColHeaders="0" workbookViewId="0">
      <pane ySplit="2" topLeftCell="A3" activePane="bottomLeft" state="frozen"/>
      <selection pane="bottomLeft" activeCell="B26" sqref="B26:P26"/>
    </sheetView>
  </sheetViews>
  <sheetFormatPr defaultColWidth="0" defaultRowHeight="15" customHeight="1" zeroHeight="1" x14ac:dyDescent="0.25"/>
  <cols>
    <col min="1" max="1" width="4.140625" customWidth="1"/>
    <col min="2" max="2" width="11.140625" customWidth="1"/>
    <col min="3" max="3" width="9.7109375" customWidth="1"/>
    <col min="4" max="4" width="9.140625" customWidth="1"/>
    <col min="5" max="5" width="10" customWidth="1"/>
    <col min="6" max="17" width="9.140625" customWidth="1"/>
    <col min="18" max="16384" width="9.140625" hidden="1"/>
  </cols>
  <sheetData>
    <row r="1" spans="1:17" s="11" customFormat="1" ht="30" customHeight="1" x14ac:dyDescent="0.2">
      <c r="A1" s="1367" t="s">
        <v>1184</v>
      </c>
      <c r="B1" s="1367"/>
      <c r="C1" s="1367"/>
      <c r="D1" s="1367"/>
      <c r="E1" s="1367"/>
      <c r="F1" s="1367"/>
      <c r="G1" s="1367"/>
      <c r="H1" s="1367"/>
      <c r="I1" s="1367"/>
      <c r="J1" s="1367"/>
      <c r="K1" s="1367"/>
      <c r="L1" s="1367"/>
      <c r="M1" s="1367"/>
      <c r="N1" s="1367"/>
      <c r="O1" s="1367"/>
      <c r="P1" s="1367"/>
      <c r="Q1" s="1367"/>
    </row>
    <row r="2" spans="1:17" s="11" customFormat="1" ht="27" customHeight="1" x14ac:dyDescent="0.2">
      <c r="A2" s="1179"/>
      <c r="B2" s="2505" t="s">
        <v>2212</v>
      </c>
      <c r="C2" s="2505"/>
      <c r="D2" s="2505"/>
      <c r="E2" s="1180"/>
      <c r="F2" s="2505" t="s">
        <v>2213</v>
      </c>
      <c r="G2" s="2505"/>
      <c r="H2" s="2505"/>
      <c r="I2" s="2505"/>
      <c r="J2" s="1180"/>
      <c r="K2" s="2505" t="s">
        <v>2214</v>
      </c>
      <c r="L2" s="2505"/>
      <c r="M2" s="2505"/>
      <c r="N2" s="2505"/>
      <c r="O2" s="1180"/>
      <c r="P2" s="1180"/>
      <c r="Q2" s="1180"/>
    </row>
    <row r="3" spans="1:17" s="11" customFormat="1" ht="16.5" customHeight="1" x14ac:dyDescent="0.2">
      <c r="A3" s="12"/>
      <c r="B3" s="12"/>
      <c r="C3" s="12"/>
      <c r="D3" s="13"/>
      <c r="E3" s="13"/>
      <c r="F3" s="13"/>
      <c r="G3" s="13"/>
      <c r="H3" s="13"/>
      <c r="I3" s="13"/>
      <c r="J3" s="13"/>
      <c r="K3" s="13"/>
      <c r="L3" s="13"/>
      <c r="M3" s="13"/>
      <c r="N3" s="13"/>
      <c r="O3" s="13"/>
      <c r="P3" s="13"/>
      <c r="Q3" s="13"/>
    </row>
    <row r="4" spans="1:17" s="11" customFormat="1" ht="24" customHeight="1" x14ac:dyDescent="0.2">
      <c r="A4" s="2506" t="s">
        <v>2215</v>
      </c>
      <c r="B4" s="2506"/>
      <c r="C4" s="2506"/>
      <c r="D4" s="2506"/>
      <c r="E4" s="2506"/>
      <c r="F4" s="2506"/>
      <c r="G4" s="2506"/>
      <c r="H4" s="2506"/>
      <c r="I4" s="2506"/>
      <c r="J4" s="2506"/>
      <c r="K4" s="2506"/>
      <c r="L4" s="2506"/>
      <c r="M4" s="2506"/>
      <c r="N4" s="2506"/>
      <c r="O4" s="2506"/>
      <c r="P4" s="2506"/>
      <c r="Q4" s="2506"/>
    </row>
    <row r="5" spans="1:17" s="11" customFormat="1" ht="15" customHeight="1" x14ac:dyDescent="0.2">
      <c r="A5" s="12"/>
      <c r="B5" s="12"/>
      <c r="C5" s="12"/>
      <c r="D5" s="12"/>
      <c r="E5" s="12"/>
      <c r="F5" s="12"/>
      <c r="G5" s="12"/>
      <c r="H5" s="12"/>
      <c r="I5" s="12"/>
      <c r="J5" s="12"/>
      <c r="K5" s="12"/>
      <c r="L5" s="12"/>
      <c r="M5" s="12"/>
      <c r="N5" s="12"/>
      <c r="O5" s="12"/>
      <c r="P5" s="12"/>
      <c r="Q5" s="12"/>
    </row>
    <row r="6" spans="1:17" s="11" customFormat="1" ht="15" customHeight="1" x14ac:dyDescent="0.2">
      <c r="A6" s="12"/>
      <c r="B6" s="1926" t="s">
        <v>1185</v>
      </c>
      <c r="C6" s="1926"/>
      <c r="D6" s="1926"/>
      <c r="E6" s="1926"/>
      <c r="F6" s="1926"/>
      <c r="G6" s="1926"/>
      <c r="H6" s="1926"/>
      <c r="I6" s="1926"/>
      <c r="J6" s="1926"/>
      <c r="K6" s="1926"/>
      <c r="L6" s="1926"/>
      <c r="M6" s="1926"/>
      <c r="N6" s="1926"/>
      <c r="O6" s="1926"/>
      <c r="P6" s="1926"/>
      <c r="Q6" s="12"/>
    </row>
    <row r="7" spans="1:17" s="11" customFormat="1" ht="12" customHeight="1" x14ac:dyDescent="0.2">
      <c r="A7" s="12"/>
      <c r="B7" s="12"/>
      <c r="C7" s="12"/>
      <c r="D7" s="12"/>
      <c r="E7" s="12"/>
      <c r="F7" s="12"/>
      <c r="G7" s="12"/>
      <c r="H7" s="12"/>
      <c r="I7" s="12"/>
      <c r="J7" s="12"/>
      <c r="K7" s="12"/>
      <c r="L7" s="12"/>
      <c r="M7" s="12"/>
      <c r="N7" s="12"/>
      <c r="O7" s="12"/>
      <c r="P7" s="12"/>
      <c r="Q7" s="12"/>
    </row>
    <row r="8" spans="1:17" s="744" customFormat="1" ht="30" customHeight="1" x14ac:dyDescent="0.25">
      <c r="A8" s="743"/>
      <c r="B8" s="1926" t="s">
        <v>2221</v>
      </c>
      <c r="C8" s="1926"/>
      <c r="D8" s="1926"/>
      <c r="E8" s="1926"/>
      <c r="F8" s="1926"/>
      <c r="G8" s="1926"/>
      <c r="H8" s="1926"/>
      <c r="I8" s="1926"/>
      <c r="J8" s="1926"/>
      <c r="K8" s="1926"/>
      <c r="L8" s="1926"/>
      <c r="M8" s="1926"/>
      <c r="N8" s="1926"/>
      <c r="O8" s="1926"/>
      <c r="P8" s="1926"/>
      <c r="Q8" s="743"/>
    </row>
    <row r="9" spans="1:17" s="11" customFormat="1" ht="12" customHeight="1" x14ac:dyDescent="0.2">
      <c r="A9" s="12"/>
      <c r="B9" s="12"/>
      <c r="C9" s="12"/>
      <c r="D9" s="12"/>
      <c r="E9" s="12"/>
      <c r="F9" s="12"/>
      <c r="G9" s="12"/>
      <c r="H9" s="12"/>
      <c r="I9" s="12"/>
      <c r="J9" s="12"/>
      <c r="K9" s="12"/>
      <c r="L9" s="12"/>
      <c r="M9" s="12"/>
      <c r="N9" s="12"/>
      <c r="O9" s="12"/>
      <c r="P9" s="12"/>
      <c r="Q9" s="12"/>
    </row>
    <row r="10" spans="1:17" s="746" customFormat="1" ht="42" customHeight="1" x14ac:dyDescent="0.2">
      <c r="A10" s="745"/>
      <c r="B10" s="1926" t="s">
        <v>1186</v>
      </c>
      <c r="C10" s="1926"/>
      <c r="D10" s="1926"/>
      <c r="E10" s="1926"/>
      <c r="F10" s="1926"/>
      <c r="G10" s="1926"/>
      <c r="H10" s="1926"/>
      <c r="I10" s="1926"/>
      <c r="J10" s="1926"/>
      <c r="K10" s="1926"/>
      <c r="L10" s="1926"/>
      <c r="M10" s="1926"/>
      <c r="N10" s="1926"/>
      <c r="O10" s="1926"/>
      <c r="P10" s="1926"/>
      <c r="Q10" s="745"/>
    </row>
    <row r="11" spans="1:17" s="746" customFormat="1" ht="12" customHeight="1" x14ac:dyDescent="0.2">
      <c r="A11" s="745"/>
      <c r="B11" s="1176"/>
      <c r="C11" s="1176"/>
      <c r="D11" s="1176"/>
      <c r="E11" s="1176"/>
      <c r="F11" s="1176"/>
      <c r="G11" s="1176"/>
      <c r="H11" s="1176"/>
      <c r="I11" s="1176"/>
      <c r="J11" s="1176"/>
      <c r="K11" s="1176"/>
      <c r="L11" s="1176"/>
      <c r="M11" s="1176"/>
      <c r="N11" s="1176"/>
      <c r="O11" s="1176"/>
      <c r="P11" s="1176"/>
      <c r="Q11" s="745"/>
    </row>
    <row r="12" spans="1:17" s="744" customFormat="1" ht="30" customHeight="1" x14ac:dyDescent="0.25">
      <c r="A12" s="743"/>
      <c r="B12" s="1926" t="s">
        <v>2218</v>
      </c>
      <c r="C12" s="1926"/>
      <c r="D12" s="1926"/>
      <c r="E12" s="1926"/>
      <c r="F12" s="1926"/>
      <c r="G12" s="1926"/>
      <c r="H12" s="1926"/>
      <c r="I12" s="1926"/>
      <c r="J12" s="1926"/>
      <c r="K12" s="1926"/>
      <c r="L12" s="1926"/>
      <c r="M12" s="1926"/>
      <c r="N12" s="1926"/>
      <c r="O12" s="1926"/>
      <c r="P12" s="1926"/>
      <c r="Q12" s="743"/>
    </row>
    <row r="13" spans="1:17" s="746" customFormat="1" ht="12" customHeight="1" x14ac:dyDescent="0.2">
      <c r="A13" s="745"/>
      <c r="B13" s="796"/>
      <c r="C13" s="796"/>
      <c r="D13" s="796"/>
      <c r="E13" s="796"/>
      <c r="F13" s="796"/>
      <c r="G13" s="796"/>
      <c r="H13" s="796"/>
      <c r="I13" s="796"/>
      <c r="J13" s="796"/>
      <c r="K13" s="796"/>
      <c r="L13" s="796"/>
      <c r="M13" s="796"/>
      <c r="N13" s="796"/>
      <c r="O13" s="796"/>
      <c r="P13" s="796"/>
      <c r="Q13" s="745"/>
    </row>
    <row r="14" spans="1:17" s="11" customFormat="1" ht="15" customHeight="1" x14ac:dyDescent="0.2">
      <c r="A14" s="12"/>
      <c r="B14" s="1926" t="s">
        <v>2219</v>
      </c>
      <c r="C14" s="1926"/>
      <c r="D14" s="1926"/>
      <c r="E14" s="1926"/>
      <c r="F14" s="1926"/>
      <c r="G14" s="1926"/>
      <c r="H14" s="1926"/>
      <c r="I14" s="1926"/>
      <c r="J14" s="1926"/>
      <c r="K14" s="1926"/>
      <c r="L14" s="1926"/>
      <c r="M14" s="1926"/>
      <c r="N14" s="1926"/>
      <c r="O14" s="1926"/>
      <c r="P14" s="1926"/>
      <c r="Q14" s="12"/>
    </row>
    <row r="15" spans="1:17" s="11" customFormat="1" ht="12" customHeight="1" x14ac:dyDescent="0.2">
      <c r="A15" s="12"/>
      <c r="B15" s="12"/>
      <c r="C15" s="12"/>
      <c r="D15" s="12"/>
      <c r="E15" s="12"/>
      <c r="F15" s="12"/>
      <c r="G15" s="12"/>
      <c r="H15" s="12"/>
      <c r="I15" s="12"/>
      <c r="J15" s="12"/>
      <c r="K15" s="12"/>
      <c r="L15" s="12"/>
      <c r="M15" s="12"/>
      <c r="N15" s="12"/>
      <c r="O15" s="12"/>
      <c r="P15" s="12"/>
      <c r="Q15" s="12"/>
    </row>
    <row r="16" spans="1:17" s="11" customFormat="1" ht="30" customHeight="1" x14ac:dyDescent="0.2">
      <c r="A16" s="12"/>
      <c r="B16" s="1926" t="s">
        <v>2220</v>
      </c>
      <c r="C16" s="1926"/>
      <c r="D16" s="1926"/>
      <c r="E16" s="1926"/>
      <c r="F16" s="1926"/>
      <c r="G16" s="1926"/>
      <c r="H16" s="1926"/>
      <c r="I16" s="1926"/>
      <c r="J16" s="1926"/>
      <c r="K16" s="1926"/>
      <c r="L16" s="1926"/>
      <c r="M16" s="1926"/>
      <c r="N16" s="1926"/>
      <c r="O16" s="1926"/>
      <c r="P16" s="1926"/>
      <c r="Q16" s="12"/>
    </row>
    <row r="17" spans="1:17" s="11" customFormat="1" ht="12" customHeight="1" x14ac:dyDescent="0.2">
      <c r="A17" s="12"/>
      <c r="B17" s="12"/>
      <c r="C17" s="12"/>
      <c r="D17" s="12"/>
      <c r="E17" s="12"/>
      <c r="F17" s="12"/>
      <c r="G17" s="12"/>
      <c r="H17" s="12"/>
      <c r="I17" s="12"/>
      <c r="J17" s="12"/>
      <c r="K17" s="12"/>
      <c r="L17" s="12"/>
      <c r="M17" s="12"/>
      <c r="N17" s="12"/>
      <c r="O17" s="12"/>
      <c r="P17" s="12"/>
      <c r="Q17" s="12"/>
    </row>
    <row r="18" spans="1:17" s="746" customFormat="1" ht="15" customHeight="1" x14ac:dyDescent="0.2">
      <c r="A18" s="745"/>
      <c r="B18" s="1926" t="s">
        <v>1318</v>
      </c>
      <c r="C18" s="1926"/>
      <c r="D18" s="1926"/>
      <c r="E18" s="1926"/>
      <c r="F18" s="1926"/>
      <c r="G18" s="1926"/>
      <c r="H18" s="1926"/>
      <c r="I18" s="1926"/>
      <c r="J18" s="1926"/>
      <c r="K18" s="1926"/>
      <c r="L18" s="1926"/>
      <c r="M18" s="1926"/>
      <c r="N18" s="1926"/>
      <c r="O18" s="1926"/>
      <c r="P18" s="1926"/>
      <c r="Q18" s="745"/>
    </row>
    <row r="19" spans="1:17" s="11" customFormat="1" ht="12" customHeight="1" x14ac:dyDescent="0.2">
      <c r="A19" s="12"/>
      <c r="B19" s="12"/>
      <c r="C19" s="12"/>
      <c r="D19" s="12"/>
      <c r="E19" s="12"/>
      <c r="F19" s="12"/>
      <c r="G19" s="12"/>
      <c r="H19" s="12"/>
      <c r="I19" s="12"/>
      <c r="J19" s="12"/>
      <c r="K19" s="12"/>
      <c r="L19" s="12"/>
      <c r="M19" s="12"/>
      <c r="N19" s="12"/>
      <c r="O19" s="12"/>
      <c r="P19" s="12"/>
      <c r="Q19" s="12"/>
    </row>
    <row r="20" spans="1:17" s="11" customFormat="1" ht="15" customHeight="1" x14ac:dyDescent="0.2">
      <c r="A20" s="12"/>
      <c r="B20" s="1926" t="s">
        <v>1187</v>
      </c>
      <c r="C20" s="1926"/>
      <c r="D20" s="1926"/>
      <c r="E20" s="1926"/>
      <c r="F20" s="1926"/>
      <c r="G20" s="1926"/>
      <c r="H20" s="1926"/>
      <c r="I20" s="1926"/>
      <c r="J20" s="1926"/>
      <c r="K20" s="1926"/>
      <c r="L20" s="1926"/>
      <c r="M20" s="1926"/>
      <c r="N20" s="1926"/>
      <c r="O20" s="1926"/>
      <c r="P20" s="1926"/>
      <c r="Q20" s="12"/>
    </row>
    <row r="21" spans="1:17" s="11" customFormat="1" ht="12" customHeight="1" x14ac:dyDescent="0.2">
      <c r="A21" s="12"/>
      <c r="B21" s="12"/>
      <c r="C21" s="12"/>
      <c r="D21" s="12"/>
      <c r="E21" s="12"/>
      <c r="F21" s="12"/>
      <c r="G21" s="12"/>
      <c r="H21" s="12"/>
      <c r="I21" s="12"/>
      <c r="J21" s="12"/>
      <c r="K21" s="12"/>
      <c r="L21" s="12"/>
      <c r="M21" s="12"/>
      <c r="N21" s="12"/>
      <c r="O21" s="12"/>
      <c r="P21" s="12"/>
      <c r="Q21" s="12"/>
    </row>
    <row r="22" spans="1:17" s="11" customFormat="1" ht="15" customHeight="1" x14ac:dyDescent="0.2">
      <c r="A22" s="12"/>
      <c r="B22" s="1926" t="s">
        <v>2216</v>
      </c>
      <c r="C22" s="1926"/>
      <c r="D22" s="1926"/>
      <c r="E22" s="1926"/>
      <c r="F22" s="1926"/>
      <c r="G22" s="1926"/>
      <c r="H22" s="1926"/>
      <c r="I22" s="1926"/>
      <c r="J22" s="1926"/>
      <c r="K22" s="1926"/>
      <c r="L22" s="1926"/>
      <c r="M22" s="1926"/>
      <c r="N22" s="1926"/>
      <c r="O22" s="1926"/>
      <c r="P22" s="1926"/>
      <c r="Q22" s="12"/>
    </row>
    <row r="23" spans="1:17" s="11" customFormat="1" ht="12" customHeight="1" x14ac:dyDescent="0.2">
      <c r="A23" s="12"/>
      <c r="B23" s="12"/>
      <c r="C23" s="12"/>
      <c r="D23" s="12"/>
      <c r="E23" s="12"/>
      <c r="F23" s="12"/>
      <c r="G23" s="12"/>
      <c r="H23" s="12"/>
      <c r="I23" s="12"/>
      <c r="J23" s="12"/>
      <c r="K23" s="12"/>
      <c r="L23" s="12"/>
      <c r="M23" s="12"/>
      <c r="N23" s="12"/>
      <c r="O23" s="12"/>
      <c r="P23" s="12"/>
      <c r="Q23" s="12"/>
    </row>
    <row r="24" spans="1:17" s="11" customFormat="1" ht="15" customHeight="1" x14ac:dyDescent="0.2">
      <c r="A24" s="12"/>
      <c r="B24" s="1926" t="s">
        <v>1188</v>
      </c>
      <c r="C24" s="1926"/>
      <c r="D24" s="1926"/>
      <c r="E24" s="1926"/>
      <c r="F24" s="1926"/>
      <c r="G24" s="1926"/>
      <c r="H24" s="1926"/>
      <c r="I24" s="1926"/>
      <c r="J24" s="1926"/>
      <c r="K24" s="1926"/>
      <c r="L24" s="1926"/>
      <c r="M24" s="1926"/>
      <c r="N24" s="1926"/>
      <c r="O24" s="1926"/>
      <c r="P24" s="1926"/>
      <c r="Q24" s="12"/>
    </row>
    <row r="25" spans="1:17" s="11" customFormat="1" ht="12" customHeight="1" x14ac:dyDescent="0.2">
      <c r="A25" s="12"/>
      <c r="B25" s="12"/>
      <c r="C25" s="12"/>
      <c r="D25" s="12"/>
      <c r="E25" s="12"/>
      <c r="F25" s="12"/>
      <c r="G25" s="12"/>
      <c r="H25" s="12"/>
      <c r="I25" s="12"/>
      <c r="J25" s="12"/>
      <c r="K25" s="12"/>
      <c r="L25" s="12"/>
      <c r="M25" s="12"/>
      <c r="N25" s="12"/>
      <c r="O25" s="12"/>
      <c r="P25" s="12"/>
      <c r="Q25" s="12"/>
    </row>
    <row r="26" spans="1:17" s="744" customFormat="1" ht="30" customHeight="1" x14ac:dyDescent="0.25">
      <c r="A26" s="743"/>
      <c r="B26" s="1926" t="s">
        <v>1189</v>
      </c>
      <c r="C26" s="1926"/>
      <c r="D26" s="1926"/>
      <c r="E26" s="1926"/>
      <c r="F26" s="1926"/>
      <c r="G26" s="1926"/>
      <c r="H26" s="1926"/>
      <c r="I26" s="1926"/>
      <c r="J26" s="1926"/>
      <c r="K26" s="1926"/>
      <c r="L26" s="1926"/>
      <c r="M26" s="1926"/>
      <c r="N26" s="1926"/>
      <c r="O26" s="1926"/>
      <c r="P26" s="1926"/>
      <c r="Q26" s="743"/>
    </row>
    <row r="27" spans="1:17" s="11" customFormat="1" ht="12" customHeight="1" x14ac:dyDescent="0.2">
      <c r="A27" s="12"/>
      <c r="B27" s="12"/>
      <c r="C27" s="12"/>
      <c r="D27" s="12"/>
      <c r="E27" s="12"/>
      <c r="F27" s="12"/>
      <c r="G27" s="12"/>
      <c r="H27" s="12"/>
      <c r="I27" s="12"/>
      <c r="J27" s="12"/>
      <c r="K27" s="12"/>
      <c r="L27" s="12"/>
      <c r="M27" s="12"/>
      <c r="N27" s="12"/>
      <c r="O27" s="12"/>
      <c r="P27" s="12"/>
      <c r="Q27" s="12"/>
    </row>
    <row r="28" spans="1:17" s="744" customFormat="1" ht="30" customHeight="1" x14ac:dyDescent="0.25">
      <c r="A28" s="743"/>
      <c r="B28" s="1926" t="s">
        <v>1190</v>
      </c>
      <c r="C28" s="1926"/>
      <c r="D28" s="1926"/>
      <c r="E28" s="1926"/>
      <c r="F28" s="1926"/>
      <c r="G28" s="1926"/>
      <c r="H28" s="1926"/>
      <c r="I28" s="1926"/>
      <c r="J28" s="1926"/>
      <c r="K28" s="1926"/>
      <c r="L28" s="1926"/>
      <c r="M28" s="1926"/>
      <c r="N28" s="1926"/>
      <c r="O28" s="1926"/>
      <c r="P28" s="1926"/>
      <c r="Q28" s="743"/>
    </row>
    <row r="29" spans="1:17" s="11" customFormat="1" ht="12" customHeight="1" x14ac:dyDescent="0.2">
      <c r="A29" s="12"/>
      <c r="B29" s="12"/>
      <c r="C29" s="12"/>
      <c r="D29" s="12"/>
      <c r="E29" s="12"/>
      <c r="F29" s="12"/>
      <c r="G29" s="12"/>
      <c r="H29" s="12"/>
      <c r="I29" s="12"/>
      <c r="J29" s="12"/>
      <c r="K29" s="12"/>
      <c r="L29" s="12"/>
      <c r="M29" s="12"/>
      <c r="N29" s="12"/>
      <c r="O29" s="12"/>
      <c r="P29" s="12"/>
      <c r="Q29" s="12"/>
    </row>
    <row r="30" spans="1:17" s="744" customFormat="1" ht="30" customHeight="1" x14ac:dyDescent="0.25">
      <c r="A30" s="743"/>
      <c r="B30" s="1926" t="s">
        <v>1191</v>
      </c>
      <c r="C30" s="1926"/>
      <c r="D30" s="1926"/>
      <c r="E30" s="1926"/>
      <c r="F30" s="1926"/>
      <c r="G30" s="1926"/>
      <c r="H30" s="1926"/>
      <c r="I30" s="1926"/>
      <c r="J30" s="1926"/>
      <c r="K30" s="1926"/>
      <c r="L30" s="1926"/>
      <c r="M30" s="1926"/>
      <c r="N30" s="1926"/>
      <c r="O30" s="1926"/>
      <c r="P30" s="1926"/>
      <c r="Q30" s="743"/>
    </row>
    <row r="31" spans="1:17" s="11" customFormat="1" ht="12" customHeight="1" x14ac:dyDescent="0.2">
      <c r="A31" s="12"/>
      <c r="B31" s="12"/>
      <c r="C31" s="12"/>
      <c r="D31" s="12"/>
      <c r="E31" s="12"/>
      <c r="F31" s="12"/>
      <c r="G31" s="12"/>
      <c r="H31" s="12"/>
      <c r="I31" s="12"/>
      <c r="J31" s="12"/>
      <c r="K31" s="12"/>
      <c r="L31" s="12"/>
      <c r="M31" s="12"/>
      <c r="N31" s="12"/>
      <c r="O31" s="12"/>
      <c r="P31" s="12"/>
      <c r="Q31" s="12"/>
    </row>
    <row r="32" spans="1:17" s="11" customFormat="1" ht="39" customHeight="1" x14ac:dyDescent="0.2">
      <c r="A32" s="12"/>
      <c r="B32" s="1926" t="s">
        <v>1460</v>
      </c>
      <c r="C32" s="1926"/>
      <c r="D32" s="1926"/>
      <c r="E32" s="1926"/>
      <c r="F32" s="1926"/>
      <c r="G32" s="1926"/>
      <c r="H32" s="1926"/>
      <c r="I32" s="1926"/>
      <c r="J32" s="1926"/>
      <c r="K32" s="1926"/>
      <c r="L32" s="1926"/>
      <c r="M32" s="1926"/>
      <c r="N32" s="1926"/>
      <c r="O32" s="1926"/>
      <c r="P32" s="1926"/>
      <c r="Q32" s="12"/>
    </row>
    <row r="33" spans="1:17" s="11" customFormat="1" ht="12" customHeight="1" x14ac:dyDescent="0.2">
      <c r="A33" s="12"/>
      <c r="B33" s="12"/>
      <c r="C33" s="12"/>
      <c r="D33" s="12"/>
      <c r="E33" s="12"/>
      <c r="F33" s="12"/>
      <c r="G33" s="12"/>
      <c r="H33" s="12"/>
      <c r="I33" s="12"/>
      <c r="J33" s="12"/>
      <c r="K33" s="12"/>
      <c r="L33" s="12"/>
      <c r="M33" s="12"/>
      <c r="N33" s="12"/>
      <c r="O33" s="12"/>
      <c r="P33" s="12"/>
      <c r="Q33" s="12"/>
    </row>
    <row r="34" spans="1:17" s="744" customFormat="1" ht="30" customHeight="1" x14ac:dyDescent="0.25">
      <c r="A34" s="743"/>
      <c r="B34" s="1926" t="s">
        <v>2222</v>
      </c>
      <c r="C34" s="1926"/>
      <c r="D34" s="1926"/>
      <c r="E34" s="1926"/>
      <c r="F34" s="1926"/>
      <c r="G34" s="1926"/>
      <c r="H34" s="1926"/>
      <c r="I34" s="1926"/>
      <c r="J34" s="1926"/>
      <c r="K34" s="1926"/>
      <c r="L34" s="1926"/>
      <c r="M34" s="1926"/>
      <c r="N34" s="1926"/>
      <c r="O34" s="1926"/>
      <c r="P34" s="1926"/>
      <c r="Q34" s="743"/>
    </row>
    <row r="35" spans="1:17" s="11" customFormat="1" ht="12" customHeight="1" x14ac:dyDescent="0.2">
      <c r="A35" s="12"/>
      <c r="B35" s="12"/>
      <c r="C35" s="12"/>
      <c r="D35" s="12"/>
      <c r="E35" s="12"/>
      <c r="F35" s="12"/>
      <c r="G35" s="12"/>
      <c r="H35" s="12"/>
      <c r="I35" s="12"/>
      <c r="J35" s="12"/>
      <c r="K35" s="12"/>
      <c r="L35" s="12"/>
      <c r="M35" s="12"/>
      <c r="N35" s="12"/>
      <c r="O35" s="12"/>
      <c r="P35" s="12"/>
      <c r="Q35" s="12"/>
    </row>
    <row r="36" spans="1:17" s="11" customFormat="1" ht="27.75" customHeight="1" x14ac:dyDescent="0.2">
      <c r="A36" s="12"/>
      <c r="B36" s="1926" t="s">
        <v>2217</v>
      </c>
      <c r="C36" s="1926"/>
      <c r="D36" s="1926"/>
      <c r="E36" s="1926"/>
      <c r="F36" s="1926"/>
      <c r="G36" s="1926"/>
      <c r="H36" s="1926"/>
      <c r="I36" s="1926"/>
      <c r="J36" s="1926"/>
      <c r="K36" s="1926"/>
      <c r="L36" s="1926"/>
      <c r="M36" s="1926"/>
      <c r="N36" s="1926"/>
      <c r="O36" s="1926"/>
      <c r="P36" s="1926"/>
      <c r="Q36" s="12"/>
    </row>
    <row r="37" spans="1:17" s="11" customFormat="1" ht="12" customHeight="1" x14ac:dyDescent="0.2">
      <c r="A37" s="12"/>
      <c r="B37" s="12"/>
      <c r="C37" s="12"/>
      <c r="D37" s="12"/>
      <c r="E37" s="12"/>
      <c r="F37" s="12"/>
      <c r="G37" s="12"/>
      <c r="H37" s="12"/>
      <c r="I37" s="12"/>
      <c r="J37" s="12"/>
      <c r="K37" s="12"/>
      <c r="L37" s="12"/>
      <c r="M37" s="12"/>
      <c r="N37" s="12"/>
      <c r="O37" s="12"/>
      <c r="P37" s="12"/>
      <c r="Q37" s="12"/>
    </row>
    <row r="38" spans="1:17" s="11" customFormat="1" ht="15" customHeight="1" x14ac:dyDescent="0.2">
      <c r="A38" s="12"/>
      <c r="B38" s="2507" t="s">
        <v>2223</v>
      </c>
      <c r="C38" s="2507"/>
      <c r="D38" s="2507"/>
      <c r="E38" s="2507"/>
      <c r="F38" s="2507"/>
      <c r="G38" s="2507"/>
      <c r="H38" s="2507"/>
      <c r="I38" s="2507"/>
      <c r="J38" s="2507"/>
      <c r="K38" s="2507"/>
      <c r="L38" s="2507"/>
      <c r="M38" s="2507"/>
      <c r="N38" s="2507"/>
      <c r="O38" s="2507"/>
      <c r="P38" s="2507"/>
      <c r="Q38" s="12"/>
    </row>
    <row r="39" spans="1:17" s="11" customFormat="1" ht="12" customHeight="1" x14ac:dyDescent="0.2">
      <c r="A39" s="12"/>
      <c r="B39" s="12"/>
      <c r="C39" s="12"/>
      <c r="D39" s="12"/>
      <c r="E39" s="12"/>
      <c r="F39" s="12"/>
      <c r="G39" s="12"/>
      <c r="H39" s="12"/>
      <c r="I39" s="12"/>
      <c r="J39" s="12"/>
      <c r="K39" s="12"/>
      <c r="L39" s="12"/>
      <c r="M39" s="12"/>
      <c r="N39" s="12"/>
      <c r="O39" s="12"/>
      <c r="P39" s="12"/>
      <c r="Q39" s="12"/>
    </row>
    <row r="40" spans="1:17" s="11" customFormat="1" ht="15" customHeight="1" x14ac:dyDescent="0.2">
      <c r="A40" s="12"/>
      <c r="B40" s="2507" t="s">
        <v>1192</v>
      </c>
      <c r="C40" s="2507"/>
      <c r="D40" s="2507"/>
      <c r="E40" s="2507"/>
      <c r="F40" s="2507"/>
      <c r="G40" s="2507"/>
      <c r="H40" s="2507"/>
      <c r="I40" s="2507"/>
      <c r="J40" s="2507"/>
      <c r="K40" s="2507"/>
      <c r="L40" s="2507"/>
      <c r="M40" s="2507"/>
      <c r="N40" s="2507"/>
      <c r="O40" s="2507"/>
      <c r="P40" s="2507"/>
      <c r="Q40" s="12"/>
    </row>
    <row r="41" spans="1:17" s="11" customFormat="1" ht="18.75" customHeight="1" x14ac:dyDescent="0.2">
      <c r="A41" s="224"/>
      <c r="B41" s="224"/>
      <c r="C41" s="224"/>
      <c r="D41" s="224"/>
      <c r="E41" s="224"/>
      <c r="F41" s="224"/>
      <c r="G41" s="224"/>
      <c r="H41" s="224"/>
      <c r="I41" s="224"/>
      <c r="J41" s="224"/>
      <c r="K41" s="224"/>
      <c r="L41" s="224"/>
      <c r="M41" s="224"/>
      <c r="N41" s="224"/>
      <c r="O41" s="224"/>
      <c r="P41" s="224"/>
      <c r="Q41" s="224"/>
    </row>
    <row r="42" spans="1:17" s="11" customFormat="1" ht="24" customHeight="1" x14ac:dyDescent="0.2">
      <c r="A42" s="2506" t="s">
        <v>2213</v>
      </c>
      <c r="B42" s="2506"/>
      <c r="C42" s="2506"/>
      <c r="D42" s="2506"/>
      <c r="E42" s="2506"/>
      <c r="F42" s="2506"/>
      <c r="G42" s="2506"/>
      <c r="H42" s="2506"/>
      <c r="I42" s="2506"/>
      <c r="J42" s="2506"/>
      <c r="K42" s="2506"/>
      <c r="L42" s="2506"/>
      <c r="M42" s="2506"/>
      <c r="N42" s="2506"/>
      <c r="O42" s="2506"/>
      <c r="P42" s="2506"/>
      <c r="Q42" s="2506"/>
    </row>
    <row r="43" spans="1:17" s="11" customFormat="1" ht="15" customHeight="1" x14ac:dyDescent="0.2">
      <c r="A43" s="12"/>
      <c r="B43" s="12"/>
      <c r="C43" s="12"/>
      <c r="D43" s="12"/>
      <c r="E43" s="12"/>
      <c r="F43" s="12"/>
      <c r="G43" s="12"/>
      <c r="H43" s="12"/>
      <c r="I43" s="12"/>
      <c r="J43" s="12"/>
      <c r="K43" s="12"/>
      <c r="L43" s="12"/>
      <c r="M43" s="12"/>
      <c r="N43" s="12"/>
      <c r="O43" s="12"/>
      <c r="P43" s="12"/>
      <c r="Q43" s="12"/>
    </row>
    <row r="44" spans="1:17" s="11" customFormat="1" ht="51" customHeight="1" x14ac:dyDescent="0.2">
      <c r="A44" s="12"/>
      <c r="B44" s="2510" t="s">
        <v>1504</v>
      </c>
      <c r="C44" s="2510"/>
      <c r="D44" s="2510"/>
      <c r="E44" s="2510"/>
      <c r="F44" s="2510"/>
      <c r="G44" s="2510"/>
      <c r="H44" s="2510"/>
      <c r="I44" s="2510"/>
      <c r="J44" s="2510"/>
      <c r="K44" s="2510"/>
      <c r="L44" s="2510"/>
      <c r="M44" s="2510"/>
      <c r="N44" s="2510"/>
      <c r="O44" s="2510"/>
      <c r="P44" s="2510"/>
      <c r="Q44" s="12"/>
    </row>
    <row r="45" spans="1:17" s="11" customFormat="1" ht="12" customHeight="1" x14ac:dyDescent="0.2">
      <c r="A45" s="12"/>
      <c r="B45" s="12"/>
      <c r="C45" s="12"/>
      <c r="D45" s="12"/>
      <c r="E45" s="12"/>
      <c r="F45" s="12"/>
      <c r="G45" s="12"/>
      <c r="H45" s="12"/>
      <c r="I45" s="12"/>
      <c r="J45" s="12"/>
      <c r="K45" s="12"/>
      <c r="L45" s="12"/>
      <c r="M45" s="12"/>
      <c r="N45" s="12"/>
      <c r="O45" s="12"/>
      <c r="P45" s="12"/>
      <c r="Q45" s="12"/>
    </row>
    <row r="46" spans="1:17" s="11" customFormat="1" ht="15" customHeight="1" x14ac:dyDescent="0.2">
      <c r="A46" s="12"/>
      <c r="B46" s="2508" t="s">
        <v>2721</v>
      </c>
      <c r="C46" s="2508"/>
      <c r="D46" s="2508"/>
      <c r="E46" s="2508"/>
      <c r="F46" s="2508"/>
      <c r="G46" s="2508"/>
      <c r="H46" s="2508"/>
      <c r="I46" s="2508"/>
      <c r="J46" s="2508"/>
      <c r="K46" s="2508"/>
      <c r="L46" s="2508"/>
      <c r="M46" s="2508"/>
      <c r="N46" s="2508"/>
      <c r="O46" s="2508"/>
      <c r="P46" s="2508"/>
      <c r="Q46" s="12"/>
    </row>
    <row r="47" spans="1:17" s="11" customFormat="1" ht="12" customHeight="1" x14ac:dyDescent="0.2">
      <c r="A47" s="12"/>
      <c r="B47" s="12"/>
      <c r="C47" s="12"/>
      <c r="D47" s="12"/>
      <c r="E47" s="12"/>
      <c r="F47" s="12"/>
      <c r="G47" s="12"/>
      <c r="H47" s="12"/>
      <c r="I47" s="12"/>
      <c r="J47" s="12"/>
      <c r="K47" s="12"/>
      <c r="L47" s="12"/>
      <c r="M47" s="12"/>
      <c r="N47" s="12"/>
      <c r="O47" s="12"/>
      <c r="P47" s="12"/>
      <c r="Q47" s="12"/>
    </row>
    <row r="48" spans="1:17" s="11" customFormat="1" ht="15" customHeight="1" x14ac:dyDescent="0.2">
      <c r="A48" s="12"/>
      <c r="B48" s="2508" t="s">
        <v>2722</v>
      </c>
      <c r="C48" s="2508"/>
      <c r="D48" s="2508"/>
      <c r="E48" s="2508"/>
      <c r="F48" s="2508"/>
      <c r="G48" s="2508"/>
      <c r="H48" s="2508"/>
      <c r="I48" s="2508"/>
      <c r="J48" s="2508"/>
      <c r="K48" s="2508"/>
      <c r="L48" s="2508"/>
      <c r="M48" s="2508"/>
      <c r="N48" s="2508"/>
      <c r="O48" s="2508"/>
      <c r="P48" s="2508"/>
      <c r="Q48" s="12"/>
    </row>
    <row r="49" spans="1:17" s="11" customFormat="1" ht="12" customHeight="1" x14ac:dyDescent="0.2">
      <c r="A49" s="12"/>
      <c r="B49" s="12"/>
      <c r="C49" s="12"/>
      <c r="D49" s="12"/>
      <c r="E49" s="12"/>
      <c r="F49" s="12"/>
      <c r="G49" s="12"/>
      <c r="H49" s="12"/>
      <c r="I49" s="12"/>
      <c r="J49" s="12"/>
      <c r="K49" s="12"/>
      <c r="L49" s="12"/>
      <c r="M49" s="12"/>
      <c r="N49" s="12"/>
      <c r="O49" s="12"/>
      <c r="P49" s="12"/>
      <c r="Q49" s="12"/>
    </row>
    <row r="50" spans="1:17" s="11" customFormat="1" ht="15" customHeight="1" x14ac:dyDescent="0.2">
      <c r="A50" s="12"/>
      <c r="B50" s="2508" t="s">
        <v>1193</v>
      </c>
      <c r="C50" s="2508"/>
      <c r="D50" s="2508"/>
      <c r="E50" s="2508"/>
      <c r="F50" s="2508"/>
      <c r="G50" s="2508"/>
      <c r="H50" s="2508"/>
      <c r="I50" s="2508"/>
      <c r="J50" s="2508"/>
      <c r="K50" s="2508"/>
      <c r="L50" s="2508"/>
      <c r="M50" s="2508"/>
      <c r="N50" s="2508"/>
      <c r="O50" s="2508"/>
      <c r="P50" s="2508"/>
      <c r="Q50" s="12"/>
    </row>
    <row r="51" spans="1:17" s="11" customFormat="1" ht="12" customHeight="1" x14ac:dyDescent="0.2">
      <c r="A51" s="12"/>
      <c r="B51" s="12"/>
      <c r="C51" s="12"/>
      <c r="D51" s="12"/>
      <c r="E51" s="12"/>
      <c r="F51" s="12"/>
      <c r="G51" s="12"/>
      <c r="H51" s="12"/>
      <c r="I51" s="12"/>
      <c r="J51" s="12"/>
      <c r="K51" s="12"/>
      <c r="L51" s="12"/>
      <c r="M51" s="12"/>
      <c r="N51" s="12"/>
      <c r="O51" s="12"/>
      <c r="P51" s="12"/>
      <c r="Q51" s="12"/>
    </row>
    <row r="52" spans="1:17" s="11" customFormat="1" ht="15" customHeight="1" x14ac:dyDescent="0.2">
      <c r="A52" s="12"/>
      <c r="B52" s="2508" t="s">
        <v>1194</v>
      </c>
      <c r="C52" s="2508"/>
      <c r="D52" s="2508"/>
      <c r="E52" s="2508"/>
      <c r="F52" s="2508"/>
      <c r="G52" s="2508"/>
      <c r="H52" s="2508"/>
      <c r="I52" s="2508"/>
      <c r="J52" s="2508"/>
      <c r="K52" s="2508"/>
      <c r="L52" s="2508"/>
      <c r="M52" s="2508"/>
      <c r="N52" s="2508"/>
      <c r="O52" s="2508"/>
      <c r="P52" s="2508"/>
      <c r="Q52" s="12"/>
    </row>
    <row r="53" spans="1:17" s="11" customFormat="1" ht="12" customHeight="1" x14ac:dyDescent="0.2">
      <c r="A53" s="12"/>
      <c r="B53" s="12"/>
      <c r="C53" s="12"/>
      <c r="D53" s="12"/>
      <c r="E53" s="12"/>
      <c r="F53" s="12"/>
      <c r="G53" s="12"/>
      <c r="H53" s="12"/>
      <c r="I53" s="12"/>
      <c r="J53" s="12"/>
      <c r="K53" s="12"/>
      <c r="L53" s="12"/>
      <c r="M53" s="12"/>
      <c r="N53" s="12"/>
      <c r="O53" s="12"/>
      <c r="P53" s="12"/>
      <c r="Q53" s="12"/>
    </row>
    <row r="54" spans="1:17" s="11" customFormat="1" ht="15" customHeight="1" x14ac:dyDescent="0.2">
      <c r="A54" s="12"/>
      <c r="B54" s="1926" t="s">
        <v>2828</v>
      </c>
      <c r="C54" s="1926"/>
      <c r="D54" s="1926"/>
      <c r="E54" s="1926"/>
      <c r="F54" s="1926"/>
      <c r="G54" s="1926"/>
      <c r="H54" s="1926"/>
      <c r="I54" s="1926"/>
      <c r="J54" s="1926"/>
      <c r="K54" s="1926"/>
      <c r="L54" s="1926"/>
      <c r="M54" s="1926"/>
      <c r="N54" s="1926"/>
      <c r="O54" s="1926"/>
      <c r="P54" s="1926"/>
      <c r="Q54" s="12"/>
    </row>
    <row r="55" spans="1:17" s="11" customFormat="1" ht="12" customHeight="1" x14ac:dyDescent="0.2">
      <c r="A55" s="12"/>
      <c r="B55" s="12"/>
      <c r="C55" s="12"/>
      <c r="D55" s="12"/>
      <c r="E55" s="12"/>
      <c r="F55" s="12"/>
      <c r="G55" s="12"/>
      <c r="H55" s="12"/>
      <c r="I55" s="12"/>
      <c r="J55" s="12"/>
      <c r="K55" s="12"/>
      <c r="L55" s="12"/>
      <c r="M55" s="12"/>
      <c r="N55" s="12"/>
      <c r="O55" s="12"/>
      <c r="P55" s="12"/>
      <c r="Q55" s="12"/>
    </row>
    <row r="56" spans="1:17" s="11" customFormat="1" ht="15" customHeight="1" x14ac:dyDescent="0.2">
      <c r="A56" s="12"/>
      <c r="B56" s="2508" t="s">
        <v>2829</v>
      </c>
      <c r="C56" s="2508"/>
      <c r="D56" s="2508"/>
      <c r="E56" s="2508"/>
      <c r="F56" s="2508"/>
      <c r="G56" s="2508"/>
      <c r="H56" s="2508"/>
      <c r="I56" s="2508"/>
      <c r="J56" s="2508"/>
      <c r="K56" s="2508"/>
      <c r="L56" s="2508"/>
      <c r="M56" s="2508"/>
      <c r="N56" s="2508"/>
      <c r="O56" s="2508"/>
      <c r="P56" s="2508"/>
      <c r="Q56" s="12"/>
    </row>
    <row r="57" spans="1:17" s="11" customFormat="1" ht="12" customHeight="1" x14ac:dyDescent="0.2">
      <c r="A57" s="12"/>
      <c r="B57" s="12"/>
      <c r="C57" s="12"/>
      <c r="D57" s="12"/>
      <c r="E57" s="12"/>
      <c r="F57" s="12"/>
      <c r="G57" s="12"/>
      <c r="H57" s="12"/>
      <c r="I57" s="12"/>
      <c r="J57" s="12"/>
      <c r="K57" s="12"/>
      <c r="L57" s="12"/>
      <c r="M57" s="12"/>
      <c r="N57" s="12"/>
      <c r="O57" s="12"/>
      <c r="P57" s="12"/>
      <c r="Q57" s="12"/>
    </row>
    <row r="58" spans="1:17" s="11" customFormat="1" ht="22.5" customHeight="1" x14ac:dyDescent="0.2">
      <c r="A58" s="12"/>
      <c r="B58" s="2504" t="s">
        <v>1195</v>
      </c>
      <c r="C58" s="2504"/>
      <c r="D58" s="2504"/>
      <c r="E58" s="2504"/>
      <c r="F58" s="2504"/>
      <c r="G58" s="2504"/>
      <c r="H58" s="2504"/>
      <c r="I58" s="2504"/>
      <c r="J58" s="2504"/>
      <c r="K58" s="2504"/>
      <c r="L58" s="2504"/>
      <c r="M58" s="2504"/>
      <c r="N58" s="2504"/>
      <c r="O58" s="2504"/>
      <c r="P58" s="2504"/>
      <c r="Q58" s="12"/>
    </row>
    <row r="59" spans="1:17" s="11" customFormat="1" ht="15" customHeight="1" x14ac:dyDescent="0.2">
      <c r="A59" s="12"/>
      <c r="B59" s="2504"/>
      <c r="C59" s="2504"/>
      <c r="D59" s="2504"/>
      <c r="E59" s="2504"/>
      <c r="F59" s="2504"/>
      <c r="G59" s="2504"/>
      <c r="H59" s="2504"/>
      <c r="I59" s="2504"/>
      <c r="J59" s="2504"/>
      <c r="K59" s="2504"/>
      <c r="L59" s="2504"/>
      <c r="M59" s="2504"/>
      <c r="N59" s="2504"/>
      <c r="O59" s="2504"/>
      <c r="P59" s="2504"/>
      <c r="Q59" s="12"/>
    </row>
    <row r="60" spans="1:17" s="11" customFormat="1" ht="12" customHeight="1" x14ac:dyDescent="0.2">
      <c r="A60" s="12"/>
      <c r="B60" s="12"/>
      <c r="C60" s="12"/>
      <c r="D60" s="12"/>
      <c r="E60" s="12"/>
      <c r="F60" s="12"/>
      <c r="G60" s="12"/>
      <c r="H60" s="12"/>
      <c r="I60" s="12"/>
      <c r="J60" s="12"/>
      <c r="K60" s="12"/>
      <c r="L60" s="12"/>
      <c r="M60" s="12"/>
      <c r="N60" s="12"/>
      <c r="O60" s="12"/>
      <c r="P60" s="12"/>
      <c r="Q60" s="12"/>
    </row>
    <row r="61" spans="1:17" s="11" customFormat="1" ht="15" customHeight="1" x14ac:dyDescent="0.2">
      <c r="A61" s="12"/>
      <c r="B61" s="12" t="s">
        <v>2723</v>
      </c>
      <c r="C61" s="12"/>
      <c r="D61" s="12"/>
      <c r="E61" s="12"/>
      <c r="F61" s="12"/>
      <c r="G61" s="12"/>
      <c r="H61" s="12"/>
      <c r="I61" s="12"/>
      <c r="J61" s="12"/>
      <c r="K61" s="12"/>
      <c r="L61" s="12"/>
      <c r="M61" s="12"/>
      <c r="N61" s="12"/>
      <c r="O61" s="12"/>
      <c r="P61" s="12"/>
      <c r="Q61" s="12"/>
    </row>
    <row r="62" spans="1:17" s="11" customFormat="1" ht="15" customHeight="1" x14ac:dyDescent="0.2">
      <c r="A62" s="12"/>
      <c r="B62" s="12"/>
      <c r="C62" s="12"/>
      <c r="D62" s="12"/>
      <c r="E62" s="12"/>
      <c r="F62" s="12"/>
      <c r="G62" s="12"/>
      <c r="H62" s="12"/>
      <c r="I62" s="12"/>
      <c r="J62" s="12"/>
      <c r="K62" s="12"/>
      <c r="L62" s="12"/>
      <c r="M62" s="12"/>
      <c r="N62" s="12"/>
      <c r="O62" s="12"/>
      <c r="P62" s="12"/>
      <c r="Q62" s="12"/>
    </row>
    <row r="63" spans="1:17" s="11" customFormat="1" ht="15" customHeight="1" x14ac:dyDescent="0.2">
      <c r="A63" s="12"/>
      <c r="B63" s="12" t="s">
        <v>1209</v>
      </c>
      <c r="C63" s="12"/>
      <c r="D63" s="12"/>
      <c r="E63" s="12"/>
      <c r="F63" s="12"/>
      <c r="G63" s="12"/>
      <c r="H63" s="12"/>
      <c r="I63" s="12"/>
      <c r="J63" s="12"/>
      <c r="K63" s="12"/>
      <c r="L63" s="12"/>
      <c r="M63" s="12"/>
      <c r="N63" s="12"/>
      <c r="O63" s="12"/>
      <c r="P63" s="12"/>
      <c r="Q63" s="12"/>
    </row>
    <row r="64" spans="1:17" s="11" customFormat="1" ht="15" customHeight="1" x14ac:dyDescent="0.2">
      <c r="A64" s="12"/>
      <c r="B64" s="12"/>
      <c r="C64" s="12"/>
      <c r="D64" s="12"/>
      <c r="E64" s="12"/>
      <c r="F64" s="12"/>
      <c r="G64" s="12"/>
      <c r="H64" s="12"/>
      <c r="I64" s="12"/>
      <c r="J64" s="12"/>
      <c r="K64" s="12"/>
      <c r="L64" s="12"/>
      <c r="M64" s="12"/>
      <c r="N64" s="12"/>
      <c r="O64" s="12"/>
      <c r="P64" s="12"/>
      <c r="Q64" s="12"/>
    </row>
    <row r="65" spans="1:17" s="11" customFormat="1" ht="15" customHeight="1" x14ac:dyDescent="0.2">
      <c r="A65" s="12"/>
      <c r="B65" s="12" t="s">
        <v>1210</v>
      </c>
      <c r="C65" s="12"/>
      <c r="D65" s="12"/>
      <c r="E65" s="12"/>
      <c r="F65" s="12"/>
      <c r="G65" s="12"/>
      <c r="H65" s="12"/>
      <c r="I65" s="12"/>
      <c r="J65" s="12"/>
      <c r="K65" s="12"/>
      <c r="L65" s="12"/>
      <c r="M65" s="12"/>
      <c r="N65" s="12"/>
      <c r="O65" s="12"/>
      <c r="P65" s="12"/>
      <c r="Q65" s="12"/>
    </row>
    <row r="66" spans="1:17" s="11" customFormat="1" ht="15" customHeight="1" x14ac:dyDescent="0.2">
      <c r="A66" s="12"/>
      <c r="B66" s="12"/>
      <c r="C66" s="12"/>
      <c r="D66" s="12"/>
      <c r="E66" s="12"/>
      <c r="F66" s="12"/>
      <c r="G66" s="12"/>
      <c r="H66" s="12"/>
      <c r="I66" s="12"/>
      <c r="J66" s="12"/>
      <c r="K66" s="12"/>
      <c r="L66" s="12"/>
      <c r="M66" s="12"/>
      <c r="N66" s="12"/>
      <c r="O66" s="12"/>
      <c r="P66" s="12"/>
      <c r="Q66" s="12"/>
    </row>
    <row r="67" spans="1:17" s="11" customFormat="1" ht="39" customHeight="1" x14ac:dyDescent="0.2">
      <c r="A67" s="12"/>
      <c r="B67" s="2509" t="s">
        <v>1196</v>
      </c>
      <c r="C67" s="2509"/>
      <c r="D67" s="2509"/>
      <c r="E67" s="2509"/>
      <c r="F67" s="2509"/>
      <c r="G67" s="2509"/>
      <c r="H67" s="2509"/>
      <c r="I67" s="2509"/>
      <c r="J67" s="2509"/>
      <c r="K67" s="2509"/>
      <c r="L67" s="2509"/>
      <c r="M67" s="2509"/>
      <c r="N67" s="2509"/>
      <c r="O67" s="2509"/>
      <c r="P67" s="2509"/>
      <c r="Q67" s="12"/>
    </row>
    <row r="68" spans="1:17" s="11" customFormat="1" ht="21" customHeight="1" x14ac:dyDescent="0.2">
      <c r="A68" s="224"/>
      <c r="B68" s="224"/>
      <c r="C68" s="224"/>
      <c r="D68" s="224"/>
      <c r="E68" s="224"/>
      <c r="F68" s="224"/>
      <c r="G68" s="224"/>
      <c r="H68" s="224"/>
      <c r="I68" s="224"/>
      <c r="J68" s="224"/>
      <c r="K68" s="224"/>
      <c r="L68" s="224"/>
      <c r="M68" s="224"/>
      <c r="N68" s="224"/>
      <c r="O68" s="224"/>
      <c r="P68" s="224"/>
      <c r="Q68" s="224"/>
    </row>
    <row r="69" spans="1:17" s="11" customFormat="1" ht="24" customHeight="1" x14ac:dyDescent="0.2">
      <c r="A69" s="2506" t="s">
        <v>2214</v>
      </c>
      <c r="B69" s="2506"/>
      <c r="C69" s="2506"/>
      <c r="D69" s="2506"/>
      <c r="E69" s="2506"/>
      <c r="F69" s="2506"/>
      <c r="G69" s="2506"/>
      <c r="H69" s="2506"/>
      <c r="I69" s="2506"/>
      <c r="J69" s="2506"/>
      <c r="K69" s="2506"/>
      <c r="L69" s="2506"/>
      <c r="M69" s="2506"/>
      <c r="N69" s="2506"/>
      <c r="O69" s="2506"/>
      <c r="P69" s="2506"/>
      <c r="Q69" s="2506"/>
    </row>
    <row r="70" spans="1:17" s="11" customFormat="1" ht="15" customHeight="1" x14ac:dyDescent="0.2">
      <c r="A70" s="12"/>
      <c r="B70" s="12"/>
      <c r="C70" s="12"/>
      <c r="D70" s="12"/>
      <c r="E70" s="12"/>
      <c r="F70" s="12"/>
      <c r="G70" s="12"/>
      <c r="H70" s="12"/>
      <c r="I70" s="12"/>
      <c r="J70" s="12"/>
      <c r="K70" s="12"/>
      <c r="L70" s="12"/>
      <c r="M70" s="12"/>
      <c r="N70" s="12"/>
      <c r="O70" s="12"/>
      <c r="P70" s="12"/>
      <c r="Q70" s="12"/>
    </row>
    <row r="71" spans="1:17" s="744" customFormat="1" ht="46.5" customHeight="1" x14ac:dyDescent="0.25">
      <c r="A71" s="743"/>
      <c r="B71" s="1926" t="s">
        <v>2733</v>
      </c>
      <c r="C71" s="1926"/>
      <c r="D71" s="1926"/>
      <c r="E71" s="1926"/>
      <c r="F71" s="1926"/>
      <c r="G71" s="1926"/>
      <c r="H71" s="1926"/>
      <c r="I71" s="1926"/>
      <c r="J71" s="1926"/>
      <c r="K71" s="1926"/>
      <c r="L71" s="1926"/>
      <c r="M71" s="1926"/>
      <c r="N71" s="1926"/>
      <c r="O71" s="1926"/>
      <c r="P71" s="1926"/>
      <c r="Q71" s="743"/>
    </row>
    <row r="72" spans="1:17" s="11" customFormat="1" ht="12" customHeight="1" x14ac:dyDescent="0.2">
      <c r="A72" s="12"/>
      <c r="B72" s="743"/>
      <c r="C72" s="743"/>
      <c r="D72" s="743"/>
      <c r="E72" s="743"/>
      <c r="F72" s="743"/>
      <c r="G72" s="743"/>
      <c r="H72" s="743"/>
      <c r="I72" s="743"/>
      <c r="J72" s="743"/>
      <c r="K72" s="743"/>
      <c r="L72" s="743"/>
      <c r="M72" s="743"/>
      <c r="N72" s="743"/>
      <c r="O72" s="743"/>
      <c r="P72" s="743"/>
      <c r="Q72" s="12"/>
    </row>
    <row r="73" spans="1:17" s="744" customFormat="1" ht="40.5" customHeight="1" x14ac:dyDescent="0.25">
      <c r="A73" s="743"/>
      <c r="B73" s="1926" t="s">
        <v>2724</v>
      </c>
      <c r="C73" s="1926"/>
      <c r="D73" s="1926"/>
      <c r="E73" s="1926"/>
      <c r="F73" s="1926"/>
      <c r="G73" s="1926"/>
      <c r="H73" s="1926"/>
      <c r="I73" s="1926"/>
      <c r="J73" s="1926"/>
      <c r="K73" s="1926"/>
      <c r="L73" s="1926"/>
      <c r="M73" s="1926"/>
      <c r="N73" s="1926"/>
      <c r="O73" s="1926"/>
      <c r="P73" s="1926"/>
      <c r="Q73" s="743"/>
    </row>
    <row r="74" spans="1:17" s="11" customFormat="1" ht="12" customHeight="1" x14ac:dyDescent="0.2">
      <c r="A74" s="12"/>
      <c r="B74" s="743"/>
      <c r="C74" s="743"/>
      <c r="D74" s="743"/>
      <c r="E74" s="743"/>
      <c r="F74" s="743"/>
      <c r="G74" s="743"/>
      <c r="H74" s="743"/>
      <c r="I74" s="743"/>
      <c r="J74" s="743"/>
      <c r="K74" s="743"/>
      <c r="L74" s="743"/>
      <c r="M74" s="743"/>
      <c r="N74" s="743"/>
      <c r="O74" s="743"/>
      <c r="P74" s="743"/>
      <c r="Q74" s="12"/>
    </row>
    <row r="75" spans="1:17" s="744" customFormat="1" ht="27" customHeight="1" x14ac:dyDescent="0.25">
      <c r="A75" s="743"/>
      <c r="B75" s="1926" t="s">
        <v>2725</v>
      </c>
      <c r="C75" s="1926"/>
      <c r="D75" s="1926"/>
      <c r="E75" s="1926"/>
      <c r="F75" s="1926"/>
      <c r="G75" s="1926"/>
      <c r="H75" s="1926"/>
      <c r="I75" s="1926"/>
      <c r="J75" s="1926"/>
      <c r="K75" s="1926"/>
      <c r="L75" s="1926"/>
      <c r="M75" s="1926"/>
      <c r="N75" s="1926"/>
      <c r="O75" s="1926"/>
      <c r="P75" s="1926"/>
      <c r="Q75" s="743"/>
    </row>
    <row r="76" spans="1:17" s="11" customFormat="1" ht="12" customHeight="1" x14ac:dyDescent="0.2">
      <c r="A76" s="12"/>
      <c r="B76" s="743"/>
      <c r="C76" s="743"/>
      <c r="D76" s="743"/>
      <c r="E76" s="743"/>
      <c r="F76" s="743"/>
      <c r="G76" s="743"/>
      <c r="H76" s="743"/>
      <c r="I76" s="743"/>
      <c r="J76" s="743"/>
      <c r="K76" s="743"/>
      <c r="L76" s="743"/>
      <c r="M76" s="743"/>
      <c r="N76" s="743"/>
      <c r="O76" s="743"/>
      <c r="P76" s="743"/>
      <c r="Q76" s="12"/>
    </row>
    <row r="77" spans="1:17" s="744" customFormat="1" ht="27" customHeight="1" x14ac:dyDescent="0.25">
      <c r="A77" s="743"/>
      <c r="B77" s="1926" t="s">
        <v>1211</v>
      </c>
      <c r="C77" s="1926"/>
      <c r="D77" s="1926"/>
      <c r="E77" s="1926"/>
      <c r="F77" s="1926"/>
      <c r="G77" s="1926"/>
      <c r="H77" s="1926"/>
      <c r="I77" s="1926"/>
      <c r="J77" s="1926"/>
      <c r="K77" s="1926"/>
      <c r="L77" s="1926"/>
      <c r="M77" s="1926"/>
      <c r="N77" s="1926"/>
      <c r="O77" s="1926"/>
      <c r="P77" s="1926"/>
      <c r="Q77" s="743"/>
    </row>
    <row r="78" spans="1:17" s="11" customFormat="1" ht="12" customHeight="1" x14ac:dyDescent="0.2">
      <c r="A78" s="12"/>
      <c r="B78" s="743"/>
      <c r="C78" s="743"/>
      <c r="D78" s="743"/>
      <c r="E78" s="743"/>
      <c r="F78" s="743"/>
      <c r="G78" s="743"/>
      <c r="H78" s="743"/>
      <c r="I78" s="743"/>
      <c r="J78" s="743"/>
      <c r="K78" s="743"/>
      <c r="L78" s="743"/>
      <c r="M78" s="743"/>
      <c r="N78" s="743"/>
      <c r="O78" s="743"/>
      <c r="P78" s="743"/>
      <c r="Q78" s="12"/>
    </row>
    <row r="79" spans="1:17" s="11" customFormat="1" ht="27" customHeight="1" x14ac:dyDescent="0.2">
      <c r="A79" s="12"/>
      <c r="B79" s="1926" t="s">
        <v>2734</v>
      </c>
      <c r="C79" s="1926"/>
      <c r="D79" s="1926"/>
      <c r="E79" s="1926"/>
      <c r="F79" s="1926"/>
      <c r="G79" s="1926"/>
      <c r="H79" s="1926"/>
      <c r="I79" s="1926"/>
      <c r="J79" s="1926"/>
      <c r="K79" s="1926"/>
      <c r="L79" s="1926"/>
      <c r="M79" s="1926"/>
      <c r="N79" s="1926"/>
      <c r="O79" s="1926"/>
      <c r="P79" s="1926"/>
      <c r="Q79" s="12"/>
    </row>
    <row r="80" spans="1:17" s="11" customFormat="1" ht="12" customHeight="1" x14ac:dyDescent="0.2">
      <c r="A80" s="12"/>
      <c r="B80" s="743"/>
      <c r="C80" s="743"/>
      <c r="D80" s="743"/>
      <c r="E80" s="743"/>
      <c r="F80" s="743"/>
      <c r="G80" s="743"/>
      <c r="H80" s="743"/>
      <c r="I80" s="743"/>
      <c r="J80" s="743"/>
      <c r="K80" s="743"/>
      <c r="L80" s="743"/>
      <c r="M80" s="743"/>
      <c r="N80" s="743"/>
      <c r="O80" s="743"/>
      <c r="P80" s="743"/>
      <c r="Q80" s="12"/>
    </row>
    <row r="81" spans="1:17" s="11" customFormat="1" ht="27" customHeight="1" x14ac:dyDescent="0.2">
      <c r="A81" s="12"/>
      <c r="B81" s="1926" t="s">
        <v>2065</v>
      </c>
      <c r="C81" s="1926"/>
      <c r="D81" s="1926"/>
      <c r="E81" s="1926"/>
      <c r="F81" s="1926"/>
      <c r="G81" s="1926"/>
      <c r="H81" s="1926"/>
      <c r="I81" s="1926"/>
      <c r="J81" s="1926"/>
      <c r="K81" s="1926"/>
      <c r="L81" s="1926"/>
      <c r="M81" s="1926"/>
      <c r="N81" s="1926"/>
      <c r="O81" s="1926"/>
      <c r="P81" s="1926"/>
      <c r="Q81" s="12"/>
    </row>
    <row r="82" spans="1:17" s="11" customFormat="1" ht="12" customHeight="1" x14ac:dyDescent="0.2">
      <c r="A82" s="12"/>
      <c r="B82" s="743"/>
      <c r="C82" s="743"/>
      <c r="D82" s="743"/>
      <c r="E82" s="743"/>
      <c r="F82" s="743"/>
      <c r="G82" s="743"/>
      <c r="H82" s="743"/>
      <c r="I82" s="743"/>
      <c r="J82" s="743"/>
      <c r="K82" s="743"/>
      <c r="L82" s="743"/>
      <c r="M82" s="743"/>
      <c r="N82" s="743"/>
      <c r="O82" s="743"/>
      <c r="P82" s="743"/>
      <c r="Q82" s="12"/>
    </row>
    <row r="83" spans="1:17" s="11" customFormat="1" ht="39.75" customHeight="1" x14ac:dyDescent="0.2">
      <c r="A83" s="12"/>
      <c r="B83" s="1926" t="s">
        <v>2726</v>
      </c>
      <c r="C83" s="1926"/>
      <c r="D83" s="1926"/>
      <c r="E83" s="1926"/>
      <c r="F83" s="1926"/>
      <c r="G83" s="1926"/>
      <c r="H83" s="1926"/>
      <c r="I83" s="1926"/>
      <c r="J83" s="1926"/>
      <c r="K83" s="1926"/>
      <c r="L83" s="1926"/>
      <c r="M83" s="1926"/>
      <c r="N83" s="1926"/>
      <c r="O83" s="1926"/>
      <c r="P83" s="1926"/>
      <c r="Q83" s="12"/>
    </row>
    <row r="84" spans="1:17" s="11" customFormat="1" ht="12" customHeight="1" x14ac:dyDescent="0.2">
      <c r="A84" s="12"/>
      <c r="B84" s="743"/>
      <c r="C84" s="743"/>
      <c r="D84" s="743"/>
      <c r="E84" s="743"/>
      <c r="F84" s="743"/>
      <c r="G84" s="743"/>
      <c r="H84" s="743"/>
      <c r="I84" s="743"/>
      <c r="J84" s="743"/>
      <c r="K84" s="743"/>
      <c r="L84" s="743"/>
      <c r="M84" s="743"/>
      <c r="N84" s="743"/>
      <c r="O84" s="743"/>
      <c r="P84" s="743"/>
      <c r="Q84" s="12"/>
    </row>
    <row r="85" spans="1:17" s="11" customFormat="1" ht="42" customHeight="1" x14ac:dyDescent="0.2">
      <c r="A85" s="12"/>
      <c r="B85" s="1926" t="s">
        <v>2066</v>
      </c>
      <c r="C85" s="1926"/>
      <c r="D85" s="1926"/>
      <c r="E85" s="1926"/>
      <c r="F85" s="1926"/>
      <c r="G85" s="1926"/>
      <c r="H85" s="1926"/>
      <c r="I85" s="1926"/>
      <c r="J85" s="1926"/>
      <c r="K85" s="1926"/>
      <c r="L85" s="1926"/>
      <c r="M85" s="1926"/>
      <c r="N85" s="1926"/>
      <c r="O85" s="1926"/>
      <c r="P85" s="1926"/>
      <c r="Q85" s="12"/>
    </row>
    <row r="86" spans="1:17" s="11" customFormat="1" ht="12" customHeight="1" x14ac:dyDescent="0.2">
      <c r="A86" s="12"/>
      <c r="B86" s="743"/>
      <c r="C86" s="743"/>
      <c r="D86" s="743"/>
      <c r="E86" s="743"/>
      <c r="F86" s="743"/>
      <c r="G86" s="743"/>
      <c r="H86" s="743"/>
      <c r="I86" s="743"/>
      <c r="J86" s="743"/>
      <c r="K86" s="743"/>
      <c r="L86" s="743"/>
      <c r="M86" s="743"/>
      <c r="N86" s="743"/>
      <c r="O86" s="743"/>
      <c r="P86" s="743"/>
      <c r="Q86" s="12"/>
    </row>
    <row r="87" spans="1:17" s="11" customFormat="1" ht="27" customHeight="1" x14ac:dyDescent="0.2">
      <c r="A87" s="12"/>
      <c r="B87" s="1926" t="s">
        <v>2070</v>
      </c>
      <c r="C87" s="1926"/>
      <c r="D87" s="1926"/>
      <c r="E87" s="1926"/>
      <c r="F87" s="1926"/>
      <c r="G87" s="1926"/>
      <c r="H87" s="1926"/>
      <c r="I87" s="1926"/>
      <c r="J87" s="1926"/>
      <c r="K87" s="1926"/>
      <c r="L87" s="1926"/>
      <c r="M87" s="1926"/>
      <c r="N87" s="1926"/>
      <c r="O87" s="1926"/>
      <c r="P87" s="1926"/>
      <c r="Q87" s="12"/>
    </row>
    <row r="88" spans="1:17" s="11" customFormat="1" ht="12" customHeight="1" x14ac:dyDescent="0.2">
      <c r="A88" s="12"/>
      <c r="B88" s="743"/>
      <c r="C88" s="743"/>
      <c r="D88" s="743"/>
      <c r="E88" s="743"/>
      <c r="F88" s="743"/>
      <c r="G88" s="743"/>
      <c r="H88" s="743"/>
      <c r="I88" s="743"/>
      <c r="J88" s="743"/>
      <c r="K88" s="743"/>
      <c r="L88" s="743"/>
      <c r="M88" s="743"/>
      <c r="N88" s="743"/>
      <c r="O88" s="743"/>
      <c r="P88" s="743"/>
      <c r="Q88" s="12"/>
    </row>
    <row r="89" spans="1:17" s="11" customFormat="1" ht="27" customHeight="1" x14ac:dyDescent="0.2">
      <c r="A89" s="12"/>
      <c r="B89" s="1926" t="s">
        <v>2069</v>
      </c>
      <c r="C89" s="1926"/>
      <c r="D89" s="1926"/>
      <c r="E89" s="1926"/>
      <c r="F89" s="1926"/>
      <c r="G89" s="1926"/>
      <c r="H89" s="1926"/>
      <c r="I89" s="1926"/>
      <c r="J89" s="1926"/>
      <c r="K89" s="1926"/>
      <c r="L89" s="1926"/>
      <c r="M89" s="1926"/>
      <c r="N89" s="1926"/>
      <c r="O89" s="1926"/>
      <c r="P89" s="1926"/>
      <c r="Q89" s="12"/>
    </row>
    <row r="90" spans="1:17" s="11" customFormat="1" ht="12" customHeight="1" x14ac:dyDescent="0.2">
      <c r="A90" s="12"/>
      <c r="B90" s="743"/>
      <c r="C90" s="743"/>
      <c r="D90" s="743"/>
      <c r="E90" s="743"/>
      <c r="F90" s="743"/>
      <c r="G90" s="743"/>
      <c r="H90" s="743"/>
      <c r="I90" s="743"/>
      <c r="J90" s="743"/>
      <c r="K90" s="743"/>
      <c r="L90" s="743"/>
      <c r="M90" s="743"/>
      <c r="N90" s="743"/>
      <c r="O90" s="743"/>
      <c r="P90" s="743"/>
      <c r="Q90" s="12"/>
    </row>
    <row r="91" spans="1:17" s="11" customFormat="1" ht="27" customHeight="1" x14ac:dyDescent="0.2">
      <c r="A91" s="12"/>
      <c r="B91" s="1926" t="s">
        <v>2068</v>
      </c>
      <c r="C91" s="1926"/>
      <c r="D91" s="1926"/>
      <c r="E91" s="1926"/>
      <c r="F91" s="1926"/>
      <c r="G91" s="1926"/>
      <c r="H91" s="1926"/>
      <c r="I91" s="1926"/>
      <c r="J91" s="1926"/>
      <c r="K91" s="1926"/>
      <c r="L91" s="1926"/>
      <c r="M91" s="1926"/>
      <c r="N91" s="1926"/>
      <c r="O91" s="1926"/>
      <c r="P91" s="1926"/>
      <c r="Q91" s="12"/>
    </row>
    <row r="92" spans="1:17" s="11" customFormat="1" ht="12" customHeight="1" x14ac:dyDescent="0.2">
      <c r="A92" s="12"/>
      <c r="B92" s="743"/>
      <c r="C92" s="743"/>
      <c r="D92" s="743"/>
      <c r="E92" s="743"/>
      <c r="F92" s="743"/>
      <c r="G92" s="743"/>
      <c r="H92" s="743"/>
      <c r="I92" s="743"/>
      <c r="J92" s="743"/>
      <c r="K92" s="743"/>
      <c r="L92" s="743"/>
      <c r="M92" s="743"/>
      <c r="N92" s="743"/>
      <c r="O92" s="743"/>
      <c r="P92" s="743"/>
      <c r="Q92" s="12"/>
    </row>
    <row r="93" spans="1:17" s="11" customFormat="1" ht="16.5" customHeight="1" x14ac:dyDescent="0.2">
      <c r="A93" s="12"/>
      <c r="B93" s="1926" t="s">
        <v>2067</v>
      </c>
      <c r="C93" s="1926"/>
      <c r="D93" s="1926"/>
      <c r="E93" s="1926"/>
      <c r="F93" s="1926"/>
      <c r="G93" s="1926"/>
      <c r="H93" s="1926"/>
      <c r="I93" s="1926"/>
      <c r="J93" s="1926"/>
      <c r="K93" s="1926"/>
      <c r="L93" s="1926"/>
      <c r="M93" s="1926"/>
      <c r="N93" s="1926"/>
      <c r="O93" s="1926"/>
      <c r="P93" s="1926"/>
      <c r="Q93" s="12"/>
    </row>
    <row r="94" spans="1:17" s="11" customFormat="1" ht="12" customHeight="1" x14ac:dyDescent="0.2">
      <c r="A94" s="12"/>
      <c r="B94" s="743"/>
      <c r="C94" s="743"/>
      <c r="D94" s="743"/>
      <c r="E94" s="743"/>
      <c r="F94" s="743"/>
      <c r="G94" s="743"/>
      <c r="H94" s="743"/>
      <c r="I94" s="743"/>
      <c r="J94" s="743"/>
      <c r="K94" s="743"/>
      <c r="L94" s="743"/>
      <c r="M94" s="743"/>
      <c r="N94" s="743"/>
      <c r="O94" s="743"/>
      <c r="P94" s="743"/>
      <c r="Q94" s="12"/>
    </row>
    <row r="95" spans="1:17" s="744" customFormat="1" ht="27" customHeight="1" x14ac:dyDescent="0.25">
      <c r="A95" s="743"/>
      <c r="B95" s="1926" t="s">
        <v>2727</v>
      </c>
      <c r="C95" s="1926"/>
      <c r="D95" s="1926"/>
      <c r="E95" s="1926"/>
      <c r="F95" s="1926"/>
      <c r="G95" s="1926"/>
      <c r="H95" s="1926"/>
      <c r="I95" s="1926"/>
      <c r="J95" s="1926"/>
      <c r="K95" s="1926"/>
      <c r="L95" s="1926"/>
      <c r="M95" s="1926"/>
      <c r="N95" s="1926"/>
      <c r="O95" s="1926"/>
      <c r="P95" s="1926"/>
      <c r="Q95" s="743"/>
    </row>
    <row r="96" spans="1:17" s="11" customFormat="1" ht="12" customHeight="1" x14ac:dyDescent="0.2">
      <c r="A96" s="12"/>
      <c r="B96" s="743"/>
      <c r="C96" s="743"/>
      <c r="D96" s="743"/>
      <c r="E96" s="743"/>
      <c r="F96" s="743"/>
      <c r="G96" s="743"/>
      <c r="H96" s="743"/>
      <c r="I96" s="743"/>
      <c r="J96" s="743"/>
      <c r="K96" s="743"/>
      <c r="L96" s="743"/>
      <c r="M96" s="743"/>
      <c r="N96" s="743"/>
      <c r="O96" s="743"/>
      <c r="P96" s="743"/>
      <c r="Q96" s="12"/>
    </row>
    <row r="97" spans="1:17" s="744" customFormat="1" ht="27" customHeight="1" x14ac:dyDescent="0.25">
      <c r="A97" s="743"/>
      <c r="B97" s="1926" t="s">
        <v>1399</v>
      </c>
      <c r="C97" s="1926"/>
      <c r="D97" s="1926"/>
      <c r="E97" s="1926"/>
      <c r="F97" s="1926"/>
      <c r="G97" s="1926"/>
      <c r="H97" s="1926"/>
      <c r="I97" s="1926"/>
      <c r="J97" s="1926"/>
      <c r="K97" s="1926"/>
      <c r="L97" s="1926"/>
      <c r="M97" s="1926"/>
      <c r="N97" s="1926"/>
      <c r="O97" s="1926"/>
      <c r="P97" s="1926"/>
      <c r="Q97" s="743"/>
    </row>
    <row r="98" spans="1:17" s="11" customFormat="1" ht="12" customHeight="1" x14ac:dyDescent="0.2">
      <c r="A98" s="12"/>
      <c r="B98" s="743"/>
      <c r="C98" s="743"/>
      <c r="D98" s="743"/>
      <c r="E98" s="743"/>
      <c r="F98" s="743"/>
      <c r="G98" s="743"/>
      <c r="H98" s="743"/>
      <c r="I98" s="743"/>
      <c r="J98" s="743"/>
      <c r="K98" s="743"/>
      <c r="L98" s="743"/>
      <c r="M98" s="743"/>
      <c r="N98" s="743"/>
      <c r="O98" s="743"/>
      <c r="P98" s="743"/>
      <c r="Q98" s="12"/>
    </row>
    <row r="99" spans="1:17" s="11" customFormat="1" ht="14.25" x14ac:dyDescent="0.2">
      <c r="A99" s="12"/>
      <c r="B99" s="1926" t="s">
        <v>2024</v>
      </c>
      <c r="C99" s="1926"/>
      <c r="D99" s="1926"/>
      <c r="E99" s="1926"/>
      <c r="F99" s="1926"/>
      <c r="G99" s="1926"/>
      <c r="H99" s="1926"/>
      <c r="I99" s="1926"/>
      <c r="J99" s="1926"/>
      <c r="K99" s="1926"/>
      <c r="L99" s="1926"/>
      <c r="M99" s="1926"/>
      <c r="N99" s="1926"/>
      <c r="O99" s="1926"/>
      <c r="P99" s="1926"/>
      <c r="Q99" s="12"/>
    </row>
    <row r="100" spans="1:17" s="11" customFormat="1" ht="12" customHeight="1" x14ac:dyDescent="0.2">
      <c r="A100" s="12"/>
      <c r="B100" s="743"/>
      <c r="C100" s="743"/>
      <c r="D100" s="743"/>
      <c r="E100" s="743"/>
      <c r="F100" s="743"/>
      <c r="G100" s="743"/>
      <c r="H100" s="743"/>
      <c r="I100" s="743"/>
      <c r="J100" s="743"/>
      <c r="K100" s="743"/>
      <c r="L100" s="743"/>
      <c r="M100" s="743"/>
      <c r="N100" s="743"/>
      <c r="O100" s="743"/>
      <c r="P100" s="743"/>
      <c r="Q100" s="12"/>
    </row>
    <row r="101" spans="1:17" s="744" customFormat="1" ht="51" customHeight="1" x14ac:dyDescent="0.25">
      <c r="A101" s="743"/>
      <c r="B101" s="1926" t="s">
        <v>1400</v>
      </c>
      <c r="C101" s="1926"/>
      <c r="D101" s="1926"/>
      <c r="E101" s="1926"/>
      <c r="F101" s="1926"/>
      <c r="G101" s="1926"/>
      <c r="H101" s="1926"/>
      <c r="I101" s="1926"/>
      <c r="J101" s="1926"/>
      <c r="K101" s="1926"/>
      <c r="L101" s="1926"/>
      <c r="M101" s="1926"/>
      <c r="N101" s="1926"/>
      <c r="O101" s="1926"/>
      <c r="P101" s="1926"/>
      <c r="Q101" s="743"/>
    </row>
    <row r="102" spans="1:17" s="11" customFormat="1" ht="12" customHeight="1" x14ac:dyDescent="0.2">
      <c r="A102" s="12"/>
      <c r="B102" s="743"/>
      <c r="C102" s="743"/>
      <c r="D102" s="743"/>
      <c r="E102" s="743"/>
      <c r="F102" s="743"/>
      <c r="G102" s="743"/>
      <c r="H102" s="743"/>
      <c r="I102" s="743"/>
      <c r="J102" s="743"/>
      <c r="K102" s="743"/>
      <c r="L102" s="743"/>
      <c r="M102" s="743"/>
      <c r="N102" s="743"/>
      <c r="O102" s="743"/>
      <c r="P102" s="743"/>
      <c r="Q102" s="12"/>
    </row>
    <row r="103" spans="1:17" s="11" customFormat="1" ht="42" customHeight="1" x14ac:dyDescent="0.2">
      <c r="A103" s="12"/>
      <c r="B103" s="1926" t="s">
        <v>2023</v>
      </c>
      <c r="C103" s="1926"/>
      <c r="D103" s="1926"/>
      <c r="E103" s="1926"/>
      <c r="F103" s="1926"/>
      <c r="G103" s="1926"/>
      <c r="H103" s="1926"/>
      <c r="I103" s="1926"/>
      <c r="J103" s="1926"/>
      <c r="K103" s="1926"/>
      <c r="L103" s="1926"/>
      <c r="M103" s="1926"/>
      <c r="N103" s="1926"/>
      <c r="O103" s="1926"/>
      <c r="P103" s="1926"/>
      <c r="Q103" s="12"/>
    </row>
    <row r="104" spans="1:17" s="11" customFormat="1" ht="12" customHeight="1" x14ac:dyDescent="0.2">
      <c r="A104" s="12"/>
      <c r="B104" s="743"/>
      <c r="C104" s="743"/>
      <c r="D104" s="743"/>
      <c r="E104" s="743"/>
      <c r="F104" s="743"/>
      <c r="G104" s="743"/>
      <c r="H104" s="743"/>
      <c r="I104" s="743"/>
      <c r="J104" s="743"/>
      <c r="K104" s="743"/>
      <c r="L104" s="743"/>
      <c r="M104" s="743"/>
      <c r="N104" s="743"/>
      <c r="O104" s="743"/>
      <c r="P104" s="743"/>
      <c r="Q104" s="12"/>
    </row>
    <row r="105" spans="1:17" s="11" customFormat="1" ht="42" customHeight="1" x14ac:dyDescent="0.2">
      <c r="A105" s="12"/>
      <c r="B105" s="1926" t="s">
        <v>2071</v>
      </c>
      <c r="C105" s="1926"/>
      <c r="D105" s="1926"/>
      <c r="E105" s="1926"/>
      <c r="F105" s="1926"/>
      <c r="G105" s="1926"/>
      <c r="H105" s="1926"/>
      <c r="I105" s="1926"/>
      <c r="J105" s="1926"/>
      <c r="K105" s="1926"/>
      <c r="L105" s="1926"/>
      <c r="M105" s="1926"/>
      <c r="N105" s="1926"/>
      <c r="O105" s="1926"/>
      <c r="P105" s="1926"/>
      <c r="Q105" s="12"/>
    </row>
    <row r="106" spans="1:17" s="11" customFormat="1" ht="12" customHeight="1" x14ac:dyDescent="0.2">
      <c r="A106" s="12"/>
      <c r="B106" s="743"/>
      <c r="C106" s="743"/>
      <c r="D106" s="743"/>
      <c r="E106" s="743"/>
      <c r="F106" s="743"/>
      <c r="G106" s="743"/>
      <c r="H106" s="743"/>
      <c r="I106" s="743"/>
      <c r="J106" s="743"/>
      <c r="K106" s="743"/>
      <c r="L106" s="743"/>
      <c r="M106" s="743"/>
      <c r="N106" s="743"/>
      <c r="O106" s="743"/>
      <c r="P106" s="743"/>
      <c r="Q106" s="12"/>
    </row>
    <row r="107" spans="1:17" s="11" customFormat="1" ht="15" customHeight="1" x14ac:dyDescent="0.2">
      <c r="A107" s="12"/>
      <c r="B107" s="1926" t="s">
        <v>1401</v>
      </c>
      <c r="C107" s="1926"/>
      <c r="D107" s="1926"/>
      <c r="E107" s="1926"/>
      <c r="F107" s="1926"/>
      <c r="G107" s="1926"/>
      <c r="H107" s="1926"/>
      <c r="I107" s="1926"/>
      <c r="J107" s="1926"/>
      <c r="K107" s="1926"/>
      <c r="L107" s="1926"/>
      <c r="M107" s="1926"/>
      <c r="N107" s="1926"/>
      <c r="O107" s="1926"/>
      <c r="P107" s="1926"/>
      <c r="Q107" s="12"/>
    </row>
    <row r="108" spans="1:17" s="11" customFormat="1" ht="12" customHeight="1" x14ac:dyDescent="0.2">
      <c r="A108" s="12"/>
      <c r="B108" s="743"/>
      <c r="C108" s="743"/>
      <c r="D108" s="743"/>
      <c r="E108" s="743"/>
      <c r="F108" s="743"/>
      <c r="G108" s="743"/>
      <c r="H108" s="743"/>
      <c r="I108" s="743"/>
      <c r="J108" s="743"/>
      <c r="K108" s="743"/>
      <c r="L108" s="743"/>
      <c r="M108" s="743"/>
      <c r="N108" s="743"/>
      <c r="O108" s="743"/>
      <c r="P108" s="743"/>
      <c r="Q108" s="12"/>
    </row>
    <row r="109" spans="1:17" s="11" customFormat="1" ht="12" customHeight="1" x14ac:dyDescent="0.2">
      <c r="A109" s="12"/>
      <c r="B109" s="1926" t="s">
        <v>2072</v>
      </c>
      <c r="C109" s="1926"/>
      <c r="D109" s="1926"/>
      <c r="E109" s="1926"/>
      <c r="F109" s="1926"/>
      <c r="G109" s="1926"/>
      <c r="H109" s="1926"/>
      <c r="I109" s="1926"/>
      <c r="J109" s="1926"/>
      <c r="K109" s="1926"/>
      <c r="L109" s="1926"/>
      <c r="M109" s="1926"/>
      <c r="N109" s="1926"/>
      <c r="O109" s="1926"/>
      <c r="P109" s="1926"/>
      <c r="Q109" s="12"/>
    </row>
    <row r="110" spans="1:17" s="11" customFormat="1" ht="12" customHeight="1" x14ac:dyDescent="0.2">
      <c r="A110" s="12"/>
      <c r="B110" s="743"/>
      <c r="C110" s="743"/>
      <c r="D110" s="743"/>
      <c r="E110" s="743"/>
      <c r="F110" s="743"/>
      <c r="G110" s="743"/>
      <c r="H110" s="743"/>
      <c r="I110" s="743"/>
      <c r="J110" s="743"/>
      <c r="K110" s="743"/>
      <c r="L110" s="743"/>
      <c r="M110" s="743"/>
      <c r="N110" s="743"/>
      <c r="O110" s="743"/>
      <c r="P110" s="743"/>
      <c r="Q110" s="12"/>
    </row>
    <row r="111" spans="1:17" s="744" customFormat="1" ht="27" customHeight="1" x14ac:dyDescent="0.25">
      <c r="A111" s="743"/>
      <c r="B111" s="1926" t="s">
        <v>1402</v>
      </c>
      <c r="C111" s="1926"/>
      <c r="D111" s="1926"/>
      <c r="E111" s="1926"/>
      <c r="F111" s="1926"/>
      <c r="G111" s="1926"/>
      <c r="H111" s="1926"/>
      <c r="I111" s="1926"/>
      <c r="J111" s="1926"/>
      <c r="K111" s="1926"/>
      <c r="L111" s="1926"/>
      <c r="M111" s="1926"/>
      <c r="N111" s="1926"/>
      <c r="O111" s="1926"/>
      <c r="P111" s="1926"/>
      <c r="Q111" s="743"/>
    </row>
    <row r="112" spans="1:17" s="11" customFormat="1" ht="12" customHeight="1" x14ac:dyDescent="0.2">
      <c r="A112" s="12"/>
      <c r="B112" s="743"/>
      <c r="C112" s="743"/>
      <c r="D112" s="743"/>
      <c r="E112" s="743"/>
      <c r="F112" s="743"/>
      <c r="G112" s="743"/>
      <c r="H112" s="743"/>
      <c r="I112" s="743"/>
      <c r="J112" s="743"/>
      <c r="K112" s="743"/>
      <c r="L112" s="743"/>
      <c r="M112" s="743"/>
      <c r="N112" s="743"/>
      <c r="O112" s="743"/>
      <c r="P112" s="743"/>
      <c r="Q112" s="12"/>
    </row>
    <row r="113" spans="1:17" s="11" customFormat="1" ht="14.25" x14ac:dyDescent="0.2">
      <c r="A113" s="12"/>
      <c r="B113" s="2507" t="s">
        <v>1403</v>
      </c>
      <c r="C113" s="2507"/>
      <c r="D113" s="2507"/>
      <c r="E113" s="2507"/>
      <c r="F113" s="2507"/>
      <c r="G113" s="2507"/>
      <c r="H113" s="2507"/>
      <c r="I113" s="2507"/>
      <c r="J113" s="2507"/>
      <c r="K113" s="2507"/>
      <c r="L113" s="2507"/>
      <c r="M113" s="2507"/>
      <c r="N113" s="2507"/>
      <c r="O113" s="2507"/>
      <c r="P113" s="2507"/>
      <c r="Q113" s="12"/>
    </row>
    <row r="114" spans="1:17" s="11" customFormat="1" ht="12" customHeight="1" x14ac:dyDescent="0.2">
      <c r="A114" s="12"/>
      <c r="B114" s="743"/>
      <c r="C114" s="743"/>
      <c r="D114" s="743"/>
      <c r="E114" s="743"/>
      <c r="F114" s="743"/>
      <c r="G114" s="743"/>
      <c r="H114" s="743"/>
      <c r="I114" s="743"/>
      <c r="J114" s="743"/>
      <c r="K114" s="743"/>
      <c r="L114" s="743"/>
      <c r="M114" s="743"/>
      <c r="N114" s="743"/>
      <c r="O114" s="743"/>
      <c r="P114" s="743"/>
      <c r="Q114" s="12"/>
    </row>
    <row r="115" spans="1:17" s="11" customFormat="1" ht="14.25" x14ac:dyDescent="0.2">
      <c r="A115" s="12"/>
      <c r="B115" s="2504" t="s">
        <v>2728</v>
      </c>
      <c r="C115" s="2504"/>
      <c r="D115" s="2504"/>
      <c r="E115" s="2504"/>
      <c r="F115" s="2504"/>
      <c r="G115" s="2504"/>
      <c r="H115" s="2504"/>
      <c r="I115" s="2504"/>
      <c r="J115" s="2504"/>
      <c r="K115" s="2504"/>
      <c r="L115" s="2504"/>
      <c r="M115" s="2504"/>
      <c r="N115" s="2504"/>
      <c r="O115" s="2504"/>
      <c r="P115" s="2504"/>
      <c r="Q115" s="12"/>
    </row>
    <row r="116" spans="1:17" s="11" customFormat="1" ht="12" customHeight="1" x14ac:dyDescent="0.2">
      <c r="A116" s="12"/>
      <c r="B116" s="743"/>
      <c r="C116" s="743"/>
      <c r="D116" s="743"/>
      <c r="E116" s="743"/>
      <c r="F116" s="743"/>
      <c r="G116" s="743"/>
      <c r="H116" s="743"/>
      <c r="I116" s="743"/>
      <c r="J116" s="743"/>
      <c r="K116" s="743"/>
      <c r="L116" s="743"/>
      <c r="M116" s="743"/>
      <c r="N116" s="743"/>
      <c r="O116" s="743"/>
      <c r="P116" s="743"/>
      <c r="Q116" s="12"/>
    </row>
    <row r="117" spans="1:17" s="11" customFormat="1" ht="76.5" customHeight="1" x14ac:dyDescent="0.2">
      <c r="A117" s="12"/>
      <c r="B117" s="2504" t="s">
        <v>2729</v>
      </c>
      <c r="C117" s="2504"/>
      <c r="D117" s="2504"/>
      <c r="E117" s="2504"/>
      <c r="F117" s="2504"/>
      <c r="G117" s="2504"/>
      <c r="H117" s="2504"/>
      <c r="I117" s="2504"/>
      <c r="J117" s="2504"/>
      <c r="K117" s="2504"/>
      <c r="L117" s="2504"/>
      <c r="M117" s="2504"/>
      <c r="N117" s="2504"/>
      <c r="O117" s="2504"/>
      <c r="P117" s="2504"/>
      <c r="Q117" s="12"/>
    </row>
    <row r="118" spans="1:17" s="11" customFormat="1" ht="12" customHeight="1" x14ac:dyDescent="0.2">
      <c r="A118" s="12"/>
      <c r="B118" s="743"/>
      <c r="C118" s="743"/>
      <c r="D118" s="743"/>
      <c r="E118" s="743"/>
      <c r="F118" s="743"/>
      <c r="G118" s="743"/>
      <c r="H118" s="743"/>
      <c r="I118" s="743"/>
      <c r="J118" s="743"/>
      <c r="K118" s="743"/>
      <c r="L118" s="743"/>
      <c r="M118" s="743"/>
      <c r="N118" s="743"/>
      <c r="O118" s="743"/>
      <c r="P118" s="743"/>
      <c r="Q118" s="12"/>
    </row>
    <row r="119" spans="1:17" s="744" customFormat="1" ht="27" customHeight="1" x14ac:dyDescent="0.25">
      <c r="A119" s="743"/>
      <c r="B119" s="1926" t="s">
        <v>2730</v>
      </c>
      <c r="C119" s="1926"/>
      <c r="D119" s="1926"/>
      <c r="E119" s="1926"/>
      <c r="F119" s="1926"/>
      <c r="G119" s="1926"/>
      <c r="H119" s="1926"/>
      <c r="I119" s="1926"/>
      <c r="J119" s="1926"/>
      <c r="K119" s="1926"/>
      <c r="L119" s="1926"/>
      <c r="M119" s="1926"/>
      <c r="N119" s="1926"/>
      <c r="O119" s="1926"/>
      <c r="P119" s="1926"/>
      <c r="Q119" s="743"/>
    </row>
    <row r="120" spans="1:17" s="11" customFormat="1" ht="12" customHeight="1" x14ac:dyDescent="0.2">
      <c r="A120" s="12"/>
      <c r="B120" s="743"/>
      <c r="C120" s="743"/>
      <c r="D120" s="743"/>
      <c r="E120" s="743"/>
      <c r="F120" s="743"/>
      <c r="G120" s="743"/>
      <c r="H120" s="743"/>
      <c r="I120" s="743"/>
      <c r="J120" s="743"/>
      <c r="K120" s="743"/>
      <c r="L120" s="743"/>
      <c r="M120" s="743"/>
      <c r="N120" s="743"/>
      <c r="O120" s="743"/>
      <c r="P120" s="743"/>
      <c r="Q120" s="12"/>
    </row>
    <row r="121" spans="1:17" s="11" customFormat="1" ht="27" customHeight="1" x14ac:dyDescent="0.2">
      <c r="A121" s="12"/>
      <c r="B121" s="2504" t="s">
        <v>1404</v>
      </c>
      <c r="C121" s="2504"/>
      <c r="D121" s="2504"/>
      <c r="E121" s="2504"/>
      <c r="F121" s="2504"/>
      <c r="G121" s="2504"/>
      <c r="H121" s="2504"/>
      <c r="I121" s="2504"/>
      <c r="J121" s="2504"/>
      <c r="K121" s="2504"/>
      <c r="L121" s="2504"/>
      <c r="M121" s="2504"/>
      <c r="N121" s="2504"/>
      <c r="O121" s="2504"/>
      <c r="P121" s="2504"/>
      <c r="Q121" s="12"/>
    </row>
    <row r="122" spans="1:17" s="11" customFormat="1" ht="12" customHeight="1" x14ac:dyDescent="0.2">
      <c r="A122" s="12"/>
      <c r="B122" s="743"/>
      <c r="C122" s="743"/>
      <c r="D122" s="743"/>
      <c r="E122" s="743"/>
      <c r="F122" s="743"/>
      <c r="G122" s="743"/>
      <c r="H122" s="743"/>
      <c r="I122" s="743"/>
      <c r="J122" s="743"/>
      <c r="K122" s="743"/>
      <c r="L122" s="743"/>
      <c r="M122" s="743"/>
      <c r="N122" s="743"/>
      <c r="O122" s="743"/>
      <c r="P122" s="743"/>
      <c r="Q122" s="12"/>
    </row>
    <row r="123" spans="1:17" s="11" customFormat="1" ht="27" customHeight="1" x14ac:dyDescent="0.2">
      <c r="A123" s="12"/>
      <c r="B123" s="2504" t="s">
        <v>1405</v>
      </c>
      <c r="C123" s="2504"/>
      <c r="D123" s="2504"/>
      <c r="E123" s="2504"/>
      <c r="F123" s="2504"/>
      <c r="G123" s="2504"/>
      <c r="H123" s="2504"/>
      <c r="I123" s="2504"/>
      <c r="J123" s="2504"/>
      <c r="K123" s="2504"/>
      <c r="L123" s="2504"/>
      <c r="M123" s="2504"/>
      <c r="N123" s="2504"/>
      <c r="O123" s="2504"/>
      <c r="P123" s="2504"/>
      <c r="Q123" s="12"/>
    </row>
    <row r="124" spans="1:17" s="11" customFormat="1" ht="12" customHeight="1" x14ac:dyDescent="0.2">
      <c r="A124" s="12"/>
      <c r="B124" s="743"/>
      <c r="C124" s="743"/>
      <c r="D124" s="743"/>
      <c r="E124" s="743"/>
      <c r="F124" s="743"/>
      <c r="G124" s="743"/>
      <c r="H124" s="743"/>
      <c r="I124" s="743"/>
      <c r="J124" s="743"/>
      <c r="K124" s="743"/>
      <c r="L124" s="743"/>
      <c r="M124" s="743"/>
      <c r="N124" s="743"/>
      <c r="O124" s="743"/>
      <c r="P124" s="743"/>
      <c r="Q124" s="12"/>
    </row>
    <row r="125" spans="1:17" s="744" customFormat="1" ht="27" customHeight="1" x14ac:dyDescent="0.25">
      <c r="A125" s="743"/>
      <c r="B125" s="1926" t="s">
        <v>1406</v>
      </c>
      <c r="C125" s="1926"/>
      <c r="D125" s="1926"/>
      <c r="E125" s="1926"/>
      <c r="F125" s="1926"/>
      <c r="G125" s="1926"/>
      <c r="H125" s="1926"/>
      <c r="I125" s="1926"/>
      <c r="J125" s="1926"/>
      <c r="K125" s="1926"/>
      <c r="L125" s="1926"/>
      <c r="M125" s="1926"/>
      <c r="N125" s="1926"/>
      <c r="O125" s="1926"/>
      <c r="P125" s="1926"/>
      <c r="Q125" s="743"/>
    </row>
    <row r="126" spans="1:17" s="11" customFormat="1" ht="12" customHeight="1" x14ac:dyDescent="0.2">
      <c r="A126" s="12"/>
      <c r="B126" s="743"/>
      <c r="C126" s="743"/>
      <c r="D126" s="743"/>
      <c r="E126" s="743"/>
      <c r="F126" s="743"/>
      <c r="G126" s="743"/>
      <c r="H126" s="743"/>
      <c r="I126" s="743"/>
      <c r="J126" s="743"/>
      <c r="K126" s="743"/>
      <c r="L126" s="743"/>
      <c r="M126" s="743"/>
      <c r="N126" s="743"/>
      <c r="O126" s="743"/>
      <c r="P126" s="743"/>
      <c r="Q126" s="12"/>
    </row>
    <row r="127" spans="1:17" s="744" customFormat="1" ht="27" customHeight="1" x14ac:dyDescent="0.25">
      <c r="A127" s="743"/>
      <c r="B127" s="1926" t="s">
        <v>2731</v>
      </c>
      <c r="C127" s="1926"/>
      <c r="D127" s="1926"/>
      <c r="E127" s="1926"/>
      <c r="F127" s="1926"/>
      <c r="G127" s="1926"/>
      <c r="H127" s="1926"/>
      <c r="I127" s="1926"/>
      <c r="J127" s="1926"/>
      <c r="K127" s="1926"/>
      <c r="L127" s="1926"/>
      <c r="M127" s="1926"/>
      <c r="N127" s="1926"/>
      <c r="O127" s="1926"/>
      <c r="P127" s="1926"/>
      <c r="Q127" s="743"/>
    </row>
    <row r="128" spans="1:17" s="11" customFormat="1" ht="12" customHeight="1" x14ac:dyDescent="0.2">
      <c r="A128" s="12"/>
      <c r="B128" s="743"/>
      <c r="C128" s="743"/>
      <c r="D128" s="743"/>
      <c r="E128" s="743"/>
      <c r="F128" s="743"/>
      <c r="G128" s="743"/>
      <c r="H128" s="743"/>
      <c r="I128" s="743"/>
      <c r="J128" s="743"/>
      <c r="K128" s="743"/>
      <c r="L128" s="743"/>
      <c r="M128" s="743"/>
      <c r="N128" s="743"/>
      <c r="O128" s="743"/>
      <c r="P128" s="743"/>
      <c r="Q128" s="12"/>
    </row>
    <row r="129" spans="1:17" s="744" customFormat="1" ht="14.25" x14ac:dyDescent="0.25">
      <c r="A129" s="743"/>
      <c r="B129" s="2503" t="s">
        <v>2732</v>
      </c>
      <c r="C129" s="1926"/>
      <c r="D129" s="1926"/>
      <c r="E129" s="1926"/>
      <c r="F129" s="1926"/>
      <c r="G129" s="1926"/>
      <c r="H129" s="1926"/>
      <c r="I129" s="1926"/>
      <c r="J129" s="1926"/>
      <c r="K129" s="1926"/>
      <c r="L129" s="1926"/>
      <c r="M129" s="1926"/>
      <c r="N129" s="1926"/>
      <c r="O129" s="1926"/>
      <c r="P129" s="1926"/>
      <c r="Q129" s="743"/>
    </row>
    <row r="130" spans="1:17" s="11" customFormat="1" ht="12" customHeight="1" x14ac:dyDescent="0.2">
      <c r="A130" s="12"/>
      <c r="B130" s="743"/>
      <c r="C130" s="743"/>
      <c r="D130" s="743"/>
      <c r="E130" s="743"/>
      <c r="F130" s="743"/>
      <c r="G130" s="743"/>
      <c r="H130" s="743"/>
      <c r="I130" s="743"/>
      <c r="J130" s="743"/>
      <c r="K130" s="743"/>
      <c r="L130" s="743"/>
      <c r="M130" s="743"/>
      <c r="N130" s="743"/>
      <c r="O130" s="743"/>
      <c r="P130" s="743"/>
      <c r="Q130" s="12"/>
    </row>
    <row r="131" spans="1:17" s="11" customFormat="1" ht="15" customHeight="1" x14ac:dyDescent="0.2">
      <c r="A131" s="12"/>
      <c r="B131" s="2507" t="s">
        <v>1407</v>
      </c>
      <c r="C131" s="2507"/>
      <c r="D131" s="2507"/>
      <c r="E131" s="2507"/>
      <c r="F131" s="2507"/>
      <c r="G131" s="2507"/>
      <c r="H131" s="2507"/>
      <c r="I131" s="2507"/>
      <c r="J131" s="2507"/>
      <c r="K131" s="2507"/>
      <c r="L131" s="2507"/>
      <c r="M131" s="2507"/>
      <c r="N131" s="2507"/>
      <c r="O131" s="2507"/>
      <c r="P131" s="2507"/>
      <c r="Q131" s="12"/>
    </row>
    <row r="132" spans="1:17" s="11" customFormat="1" ht="15" customHeight="1" x14ac:dyDescent="0.2">
      <c r="A132" s="224"/>
      <c r="B132" s="224"/>
      <c r="C132" s="224"/>
      <c r="D132" s="224"/>
      <c r="E132" s="224"/>
      <c r="F132" s="224"/>
      <c r="G132" s="224"/>
      <c r="H132" s="224"/>
      <c r="I132" s="224"/>
      <c r="J132" s="224"/>
      <c r="K132" s="224"/>
      <c r="L132" s="224"/>
      <c r="M132" s="224"/>
      <c r="N132" s="224"/>
      <c r="O132" s="224"/>
      <c r="P132" s="224"/>
      <c r="Q132" s="224"/>
    </row>
    <row r="133" spans="1:17" ht="15" hidden="1" customHeight="1" x14ac:dyDescent="0.25"/>
    <row r="134" spans="1:17" ht="15" hidden="1" customHeight="1" x14ac:dyDescent="0.25"/>
    <row r="135" spans="1:17" ht="15" hidden="1" customHeight="1" x14ac:dyDescent="0.25"/>
    <row r="136" spans="1:17" ht="15" hidden="1" customHeight="1" x14ac:dyDescent="0.25"/>
    <row r="137" spans="1:17" ht="15" hidden="1" customHeight="1" x14ac:dyDescent="0.25"/>
    <row r="138" spans="1:17" ht="15" hidden="1" customHeight="1" x14ac:dyDescent="0.25"/>
    <row r="139" spans="1:17" ht="15" hidden="1" customHeight="1" x14ac:dyDescent="0.25"/>
    <row r="140" spans="1:17" ht="15" hidden="1" customHeight="1" x14ac:dyDescent="0.25"/>
    <row r="141" spans="1:17" ht="15" hidden="1" customHeight="1" x14ac:dyDescent="0.25"/>
    <row r="142" spans="1:17" ht="15" hidden="1" customHeight="1" x14ac:dyDescent="0.25"/>
    <row r="143" spans="1:17" ht="15" hidden="1" customHeight="1" x14ac:dyDescent="0.25"/>
    <row r="144" spans="1:17"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sheetData>
  <sheetProtection algorithmName="SHA-512" hashValue="+Sr31k/4qVLuPcDcwkq+r4kbKwA3r0LPmt4e3vqK0VwBtrzRraoOkpaur+b8ryxWK0xMcAkKxcjPgT1I9FHpKg==" saltValue="IHBx7xKk51Vf9Y2e0CsPGQ==" spinCount="100000" sheet="1" objects="1" scenarios="1"/>
  <mergeCells count="65">
    <mergeCell ref="B32:P32"/>
    <mergeCell ref="B58:P59"/>
    <mergeCell ref="B24:P24"/>
    <mergeCell ref="B26:P26"/>
    <mergeCell ref="B28:P28"/>
    <mergeCell ref="B30:P30"/>
    <mergeCell ref="A42:Q42"/>
    <mergeCell ref="B44:P44"/>
    <mergeCell ref="B46:P46"/>
    <mergeCell ref="B48:P48"/>
    <mergeCell ref="B54:P54"/>
    <mergeCell ref="B22:P22"/>
    <mergeCell ref="B6:P6"/>
    <mergeCell ref="B12:P12"/>
    <mergeCell ref="B14:P14"/>
    <mergeCell ref="B16:P16"/>
    <mergeCell ref="B67:P67"/>
    <mergeCell ref="B111:P111"/>
    <mergeCell ref="B107:P107"/>
    <mergeCell ref="B77:P77"/>
    <mergeCell ref="B81:P81"/>
    <mergeCell ref="B103:P103"/>
    <mergeCell ref="B85:P85"/>
    <mergeCell ref="B87:P87"/>
    <mergeCell ref="B89:P89"/>
    <mergeCell ref="B91:P91"/>
    <mergeCell ref="B93:P93"/>
    <mergeCell ref="B105:P105"/>
    <mergeCell ref="B109:P109"/>
    <mergeCell ref="A69:Q69"/>
    <mergeCell ref="B73:P73"/>
    <mergeCell ref="B131:P131"/>
    <mergeCell ref="B38:P38"/>
    <mergeCell ref="B34:P34"/>
    <mergeCell ref="B36:P36"/>
    <mergeCell ref="B40:P40"/>
    <mergeCell ref="B125:P125"/>
    <mergeCell ref="B52:P52"/>
    <mergeCell ref="B56:P56"/>
    <mergeCell ref="B95:P95"/>
    <mergeCell ref="B97:P97"/>
    <mergeCell ref="B99:P99"/>
    <mergeCell ref="B101:P101"/>
    <mergeCell ref="B121:P121"/>
    <mergeCell ref="B123:P123"/>
    <mergeCell ref="B50:P50"/>
    <mergeCell ref="B113:P113"/>
    <mergeCell ref="A1:Q1"/>
    <mergeCell ref="B8:P8"/>
    <mergeCell ref="B10:P10"/>
    <mergeCell ref="B20:P20"/>
    <mergeCell ref="B18:P18"/>
    <mergeCell ref="B2:D2"/>
    <mergeCell ref="F2:I2"/>
    <mergeCell ref="K2:N2"/>
    <mergeCell ref="A4:Q4"/>
    <mergeCell ref="B119:P119"/>
    <mergeCell ref="B127:P127"/>
    <mergeCell ref="B129:P129"/>
    <mergeCell ref="B71:P71"/>
    <mergeCell ref="B79:P79"/>
    <mergeCell ref="B75:P75"/>
    <mergeCell ref="B83:P83"/>
    <mergeCell ref="B115:P115"/>
    <mergeCell ref="B117:P117"/>
  </mergeCells>
  <hyperlinks>
    <hyperlink ref="B2:C2" location="Introduction!B69" tooltip="Certification Process" display="6. Certification Process"/>
    <hyperlink ref="B2:D2" location="Glossary!A4:B41" tooltip="1. Specific LOTUS Terms" display="1. Specific LOTUS Terms"/>
    <hyperlink ref="F2:G2" location="Introduction!B69" tooltip="Certification Process" display="6. Certification Process"/>
    <hyperlink ref="F2:H2" location="Glossary!A36:A54" tooltip="2. LOTUS Submission terms" display="2. LOTUS Submission terms"/>
    <hyperlink ref="F2:I2" location="Glossary!A42:A68" tooltip="2. LOTUS Submission terms" display="2. LOTUS Submission terms"/>
    <hyperlink ref="K2:L2" location="Introduction!B69" tooltip="Certification Process" display="6. Certification Process"/>
    <hyperlink ref="K2:M2" location="Glossary!A36:A54" tooltip="2. LOTUS Submission terms" display="2. LOTUS Submission terms"/>
    <hyperlink ref="K2:N2" location="Glossary!A69:A134" tooltip="3. Technical terms" display="3. Technical terms"/>
  </hyperlinks>
  <pageMargins left="0.7" right="0.7" top="0.75" bottom="0.75" header="0.3" footer="0.3"/>
  <pageSetup orientation="portrait" horizontalDpi="3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98"/>
  <sheetViews>
    <sheetView showRowColHeaders="0" workbookViewId="0">
      <pane ySplit="7" topLeftCell="A8" activePane="bottomLeft" state="frozen"/>
      <selection pane="bottomLeft" activeCell="N4" sqref="N4"/>
    </sheetView>
  </sheetViews>
  <sheetFormatPr defaultColWidth="0" defaultRowHeight="15" customHeight="1" zeroHeight="1" x14ac:dyDescent="0.25"/>
  <cols>
    <col min="1" max="1" width="4.5703125" style="168" customWidth="1"/>
    <col min="2" max="5" width="10.7109375" style="168" customWidth="1"/>
    <col min="6" max="6" width="13.42578125" style="168" customWidth="1"/>
    <col min="7" max="8" width="10.7109375" style="168" customWidth="1"/>
    <col min="9" max="9" width="14.7109375" style="168" customWidth="1"/>
    <col min="10" max="10" width="13.42578125" style="168" customWidth="1"/>
    <col min="11" max="11" width="13" style="168" customWidth="1"/>
    <col min="12" max="12" width="13.140625" style="168" customWidth="1"/>
    <col min="13" max="14" width="13.5703125" style="168" customWidth="1"/>
    <col min="15" max="15" width="9.85546875" style="168" customWidth="1"/>
    <col min="16" max="16" width="0" style="168" hidden="1" customWidth="1"/>
    <col min="17" max="16384" width="9.140625" style="168" hidden="1"/>
  </cols>
  <sheetData>
    <row r="1" spans="1:16" ht="30" customHeight="1" x14ac:dyDescent="0.25">
      <c r="A1" s="1386" t="s">
        <v>673</v>
      </c>
      <c r="B1" s="1387"/>
      <c r="C1" s="1387"/>
      <c r="D1" s="1387"/>
      <c r="E1" s="1387"/>
      <c r="F1" s="1387"/>
      <c r="G1" s="1387"/>
      <c r="H1" s="1387"/>
      <c r="I1" s="1387"/>
      <c r="J1" s="1399" t="s">
        <v>727</v>
      </c>
      <c r="K1" s="1399"/>
      <c r="L1" s="1399"/>
      <c r="M1" s="1399"/>
      <c r="N1" s="1399"/>
      <c r="O1" s="1399"/>
      <c r="P1" s="167"/>
    </row>
    <row r="2" spans="1:16" ht="18.75" x14ac:dyDescent="0.3">
      <c r="A2" s="736"/>
      <c r="B2" s="1385" t="s">
        <v>655</v>
      </c>
      <c r="C2" s="1385"/>
      <c r="D2" s="1385"/>
      <c r="E2" s="1385"/>
      <c r="F2" s="736"/>
      <c r="G2" s="736"/>
      <c r="H2" s="736"/>
      <c r="I2" s="736"/>
      <c r="J2" s="1384"/>
      <c r="K2" s="1384"/>
      <c r="L2" s="737"/>
      <c r="M2" s="737"/>
      <c r="N2" s="736"/>
      <c r="O2" s="736"/>
      <c r="P2" s="167"/>
    </row>
    <row r="3" spans="1:16" ht="18.75" x14ac:dyDescent="0.3">
      <c r="A3" s="736"/>
      <c r="B3" s="1385" t="s">
        <v>656</v>
      </c>
      <c r="C3" s="1385"/>
      <c r="D3" s="1385"/>
      <c r="E3" s="1385"/>
      <c r="F3" s="736"/>
      <c r="G3" s="736"/>
      <c r="H3" s="736"/>
      <c r="I3" s="736"/>
      <c r="J3" s="1400"/>
      <c r="K3" s="1400"/>
      <c r="L3" s="737"/>
      <c r="M3" s="737"/>
      <c r="N3" s="736"/>
      <c r="O3" s="736"/>
      <c r="P3" s="167"/>
    </row>
    <row r="4" spans="1:16" ht="18.75" x14ac:dyDescent="0.3">
      <c r="A4" s="736"/>
      <c r="B4" s="1385" t="s">
        <v>657</v>
      </c>
      <c r="C4" s="1385"/>
      <c r="D4" s="1385"/>
      <c r="E4" s="1385"/>
      <c r="F4" s="736"/>
      <c r="G4" s="736"/>
      <c r="H4" s="736"/>
      <c r="I4" s="736"/>
      <c r="J4" s="1400"/>
      <c r="K4" s="1400"/>
      <c r="L4" s="736"/>
      <c r="M4" s="736"/>
      <c r="N4" s="736"/>
      <c r="O4" s="736"/>
      <c r="P4" s="167"/>
    </row>
    <row r="5" spans="1:16" ht="12" customHeight="1" x14ac:dyDescent="0.25">
      <c r="A5" s="736"/>
      <c r="B5" s="736"/>
      <c r="C5" s="736"/>
      <c r="D5" s="736"/>
      <c r="E5" s="736"/>
      <c r="F5" s="736"/>
      <c r="G5" s="736"/>
      <c r="H5" s="736"/>
      <c r="I5" s="736"/>
      <c r="J5" s="736"/>
      <c r="K5" s="736"/>
      <c r="L5" s="736"/>
      <c r="M5" s="736"/>
      <c r="N5" s="736"/>
      <c r="O5" s="736"/>
      <c r="P5" s="167"/>
    </row>
    <row r="6" spans="1:16" ht="16.5" customHeight="1" x14ac:dyDescent="0.3">
      <c r="A6" s="429"/>
      <c r="B6" s="430" t="s">
        <v>688</v>
      </c>
      <c r="C6" s="431"/>
      <c r="D6" s="431"/>
      <c r="E6" s="431"/>
      <c r="F6" s="431"/>
      <c r="G6" s="429"/>
      <c r="H6" s="429"/>
      <c r="I6" s="429"/>
      <c r="J6" s="429"/>
      <c r="K6" s="429"/>
      <c r="L6" s="429"/>
      <c r="M6" s="429"/>
      <c r="N6" s="429"/>
      <c r="O6" s="429"/>
      <c r="P6" s="167"/>
    </row>
    <row r="7" spans="1:16" ht="16.5" customHeight="1" x14ac:dyDescent="0.3">
      <c r="A7" s="429"/>
      <c r="B7" s="430" t="s">
        <v>658</v>
      </c>
      <c r="C7" s="431"/>
      <c r="D7" s="431"/>
      <c r="E7" s="431"/>
      <c r="F7" s="431"/>
      <c r="G7" s="429"/>
      <c r="H7" s="429"/>
      <c r="I7" s="429"/>
      <c r="J7" s="429"/>
      <c r="K7" s="429"/>
      <c r="L7" s="429"/>
      <c r="M7" s="429"/>
      <c r="N7" s="429"/>
      <c r="O7" s="429"/>
      <c r="P7" s="167"/>
    </row>
    <row r="8" spans="1:16" ht="15" customHeight="1" x14ac:dyDescent="0.3">
      <c r="A8" s="476"/>
      <c r="B8" s="480"/>
      <c r="C8" s="479"/>
      <c r="D8" s="479"/>
      <c r="E8" s="479"/>
      <c r="F8" s="479"/>
      <c r="G8" s="476"/>
      <c r="H8" s="476"/>
      <c r="I8" s="476"/>
      <c r="J8" s="476"/>
      <c r="K8" s="476"/>
      <c r="L8" s="476"/>
      <c r="M8" s="476"/>
      <c r="N8" s="476"/>
      <c r="O8" s="476"/>
      <c r="P8" s="167"/>
    </row>
    <row r="9" spans="1:16" ht="21" x14ac:dyDescent="0.35">
      <c r="A9" s="476"/>
      <c r="B9" s="1016" t="s">
        <v>655</v>
      </c>
      <c r="C9" s="479"/>
      <c r="D9" s="479"/>
      <c r="E9" s="479"/>
      <c r="F9" s="479"/>
      <c r="G9" s="476"/>
      <c r="H9" s="476"/>
      <c r="I9" s="476"/>
      <c r="J9" s="476"/>
      <c r="K9" s="476"/>
      <c r="L9" s="476"/>
      <c r="M9" s="476"/>
      <c r="N9" s="476"/>
      <c r="O9" s="476"/>
      <c r="P9" s="167"/>
    </row>
    <row r="10" spans="1:16" ht="9" customHeight="1" x14ac:dyDescent="0.35">
      <c r="A10" s="476"/>
      <c r="B10" s="478"/>
      <c r="C10" s="479"/>
      <c r="D10" s="479"/>
      <c r="E10" s="479"/>
      <c r="F10" s="479"/>
      <c r="G10" s="476"/>
      <c r="H10" s="476"/>
      <c r="I10" s="476"/>
      <c r="J10" s="476"/>
      <c r="K10" s="476"/>
      <c r="L10" s="476"/>
      <c r="M10" s="476"/>
      <c r="N10" s="476"/>
      <c r="O10" s="476"/>
      <c r="P10" s="167"/>
    </row>
    <row r="11" spans="1:16" ht="16.5" customHeight="1" x14ac:dyDescent="0.3">
      <c r="A11" s="476"/>
      <c r="B11" s="480" t="s">
        <v>1777</v>
      </c>
      <c r="C11" s="479"/>
      <c r="D11" s="479"/>
      <c r="E11" s="479"/>
      <c r="F11" s="479"/>
      <c r="G11" s="476"/>
      <c r="H11" s="476"/>
      <c r="I11" s="476"/>
      <c r="J11" s="476"/>
      <c r="K11" s="476"/>
      <c r="L11" s="476"/>
      <c r="M11" s="476"/>
      <c r="N11" s="476"/>
      <c r="O11" s="476"/>
      <c r="P11" s="167"/>
    </row>
    <row r="12" spans="1:16" ht="16.5" customHeight="1" x14ac:dyDescent="0.3">
      <c r="A12" s="476"/>
      <c r="B12" s="480" t="s">
        <v>659</v>
      </c>
      <c r="C12" s="479"/>
      <c r="D12" s="479"/>
      <c r="E12" s="479"/>
      <c r="F12" s="479"/>
      <c r="G12" s="476"/>
      <c r="H12" s="476"/>
      <c r="I12" s="476"/>
      <c r="J12" s="476"/>
      <c r="K12" s="476"/>
      <c r="L12" s="476"/>
      <c r="M12" s="476"/>
      <c r="N12" s="476"/>
      <c r="O12" s="476"/>
      <c r="P12" s="167"/>
    </row>
    <row r="13" spans="1:16" ht="16.5" customHeight="1" x14ac:dyDescent="0.3">
      <c r="A13" s="476"/>
      <c r="B13" s="807" t="s">
        <v>1778</v>
      </c>
      <c r="C13" s="479"/>
      <c r="D13" s="479"/>
      <c r="E13" s="479"/>
      <c r="F13" s="479"/>
      <c r="G13" s="476"/>
      <c r="H13" s="476"/>
      <c r="I13" s="476"/>
      <c r="J13" s="476"/>
      <c r="K13" s="476"/>
      <c r="L13" s="476"/>
      <c r="M13" s="476"/>
      <c r="N13" s="476"/>
      <c r="O13" s="476"/>
      <c r="P13" s="167"/>
    </row>
    <row r="14" spans="1:16" ht="16.5" customHeight="1" x14ac:dyDescent="0.3">
      <c r="A14" s="476"/>
      <c r="B14" s="807" t="s">
        <v>1779</v>
      </c>
      <c r="C14" s="479"/>
      <c r="D14" s="479"/>
      <c r="E14" s="479"/>
      <c r="F14" s="479"/>
      <c r="G14" s="476"/>
      <c r="H14" s="476"/>
      <c r="I14" s="476"/>
      <c r="J14" s="476"/>
      <c r="K14" s="476"/>
      <c r="L14" s="476"/>
      <c r="M14" s="476"/>
      <c r="N14" s="476"/>
      <c r="O14" s="476"/>
      <c r="P14" s="167"/>
    </row>
    <row r="15" spans="1:16" ht="16.5" customHeight="1" x14ac:dyDescent="0.3">
      <c r="A15" s="476"/>
      <c r="B15" s="807" t="s">
        <v>1780</v>
      </c>
      <c r="C15" s="479"/>
      <c r="D15" s="479"/>
      <c r="E15" s="479"/>
      <c r="F15" s="479"/>
      <c r="G15" s="476"/>
      <c r="H15" s="476"/>
      <c r="I15" s="476"/>
      <c r="J15" s="476"/>
      <c r="K15" s="476"/>
      <c r="L15" s="476"/>
      <c r="M15" s="476"/>
      <c r="N15" s="476"/>
      <c r="O15" s="476"/>
      <c r="P15" s="167"/>
    </row>
    <row r="16" spans="1:16" ht="12" customHeight="1" x14ac:dyDescent="0.3">
      <c r="A16" s="476"/>
      <c r="B16" s="481"/>
      <c r="C16" s="479"/>
      <c r="D16" s="479"/>
      <c r="E16" s="479"/>
      <c r="F16" s="479"/>
      <c r="G16" s="476"/>
      <c r="H16" s="476"/>
      <c r="I16" s="476"/>
      <c r="J16" s="476"/>
      <c r="K16" s="476"/>
      <c r="L16" s="476"/>
      <c r="M16" s="476"/>
      <c r="N16" s="476"/>
      <c r="O16" s="476"/>
      <c r="P16" s="167"/>
    </row>
    <row r="17" spans="1:16" ht="21" x14ac:dyDescent="0.35">
      <c r="A17" s="476"/>
      <c r="B17" s="1016" t="s">
        <v>656</v>
      </c>
      <c r="C17" s="482"/>
      <c r="D17" s="482"/>
      <c r="E17" s="482"/>
      <c r="F17" s="482"/>
      <c r="G17" s="482"/>
      <c r="H17" s="476"/>
      <c r="I17" s="476"/>
      <c r="J17" s="476"/>
      <c r="K17" s="476"/>
      <c r="L17" s="476"/>
      <c r="M17" s="476"/>
      <c r="N17" s="476"/>
      <c r="O17" s="476"/>
      <c r="P17" s="167"/>
    </row>
    <row r="18" spans="1:16" ht="9" customHeight="1" x14ac:dyDescent="0.3">
      <c r="A18" s="476"/>
      <c r="B18" s="484"/>
      <c r="C18" s="482"/>
      <c r="D18" s="482"/>
      <c r="E18" s="482"/>
      <c r="F18" s="482"/>
      <c r="G18" s="482"/>
      <c r="H18" s="476"/>
      <c r="I18" s="476"/>
      <c r="J18" s="476"/>
      <c r="K18" s="476"/>
      <c r="L18" s="476"/>
      <c r="M18" s="476"/>
      <c r="N18" s="476"/>
      <c r="O18" s="476"/>
      <c r="P18" s="167"/>
    </row>
    <row r="19" spans="1:16" ht="15" customHeight="1" x14ac:dyDescent="0.25">
      <c r="A19" s="476"/>
      <c r="B19" s="480" t="s">
        <v>1245</v>
      </c>
      <c r="C19" s="482"/>
      <c r="D19" s="482"/>
      <c r="E19" s="482"/>
      <c r="F19" s="482"/>
      <c r="G19" s="482"/>
      <c r="H19" s="476"/>
      <c r="I19" s="476"/>
      <c r="J19" s="476"/>
      <c r="K19" s="476"/>
      <c r="L19" s="476"/>
      <c r="M19" s="476"/>
      <c r="N19" s="476"/>
      <c r="O19" s="476"/>
      <c r="P19" s="167"/>
    </row>
    <row r="20" spans="1:16" ht="16.5" customHeight="1" x14ac:dyDescent="0.3">
      <c r="A20" s="476"/>
      <c r="B20" s="480" t="s">
        <v>1246</v>
      </c>
      <c r="C20" s="479"/>
      <c r="D20" s="479"/>
      <c r="E20" s="479"/>
      <c r="F20" s="479"/>
      <c r="G20" s="476"/>
      <c r="H20" s="476"/>
      <c r="I20" s="476"/>
      <c r="J20" s="476"/>
      <c r="K20" s="476"/>
      <c r="L20" s="476"/>
      <c r="M20" s="476"/>
      <c r="N20" s="476"/>
      <c r="O20" s="476"/>
      <c r="P20" s="167"/>
    </row>
    <row r="21" spans="1:16" ht="16.5" customHeight="1" x14ac:dyDescent="0.3">
      <c r="A21" s="476"/>
      <c r="B21" s="480" t="s">
        <v>660</v>
      </c>
      <c r="C21" s="479"/>
      <c r="D21" s="479"/>
      <c r="E21" s="479"/>
      <c r="F21" s="479"/>
      <c r="G21" s="476"/>
      <c r="H21" s="476"/>
      <c r="I21" s="476"/>
      <c r="J21" s="476"/>
      <c r="K21" s="476"/>
      <c r="L21" s="476"/>
      <c r="M21" s="476"/>
      <c r="N21" s="476"/>
      <c r="O21" s="476"/>
      <c r="P21" s="167"/>
    </row>
    <row r="22" spans="1:16" ht="16.5" customHeight="1" x14ac:dyDescent="0.3">
      <c r="A22" s="476"/>
      <c r="B22" s="807" t="s">
        <v>661</v>
      </c>
      <c r="C22" s="479"/>
      <c r="D22" s="479"/>
      <c r="E22" s="479"/>
      <c r="F22" s="479"/>
      <c r="G22" s="476"/>
      <c r="H22" s="476"/>
      <c r="I22" s="476"/>
      <c r="J22" s="476"/>
      <c r="K22" s="476"/>
      <c r="L22" s="476"/>
      <c r="M22" s="476"/>
      <c r="N22" s="476"/>
      <c r="O22" s="476"/>
      <c r="P22" s="167"/>
    </row>
    <row r="23" spans="1:16" ht="16.5" customHeight="1" x14ac:dyDescent="0.3">
      <c r="A23" s="476"/>
      <c r="B23" s="807" t="s">
        <v>662</v>
      </c>
      <c r="C23" s="479"/>
      <c r="D23" s="479"/>
      <c r="E23" s="479"/>
      <c r="F23" s="479"/>
      <c r="G23" s="476"/>
      <c r="H23" s="476"/>
      <c r="I23" s="476"/>
      <c r="J23" s="476"/>
      <c r="K23" s="476"/>
      <c r="L23" s="476"/>
      <c r="M23" s="476"/>
      <c r="N23" s="476"/>
      <c r="O23" s="476"/>
      <c r="P23" s="167"/>
    </row>
    <row r="24" spans="1:16" ht="16.5" customHeight="1" x14ac:dyDescent="0.3">
      <c r="A24" s="476"/>
      <c r="B24" s="807" t="s">
        <v>663</v>
      </c>
      <c r="C24" s="479"/>
      <c r="D24" s="479"/>
      <c r="E24" s="479"/>
      <c r="F24" s="479"/>
      <c r="G24" s="476"/>
      <c r="H24" s="476"/>
      <c r="I24" s="476"/>
      <c r="J24" s="476"/>
      <c r="K24" s="476"/>
      <c r="L24" s="476"/>
      <c r="M24" s="476"/>
      <c r="N24" s="476"/>
      <c r="O24" s="476"/>
      <c r="P24" s="167"/>
    </row>
    <row r="25" spans="1:16" ht="16.5" customHeight="1" x14ac:dyDescent="0.3">
      <c r="A25" s="476"/>
      <c r="B25" s="480"/>
      <c r="C25" s="479"/>
      <c r="D25" s="479"/>
      <c r="E25" s="479"/>
      <c r="F25" s="479"/>
      <c r="G25" s="476"/>
      <c r="H25" s="476"/>
      <c r="I25" s="476"/>
      <c r="J25" s="476"/>
      <c r="K25" s="476"/>
      <c r="L25" s="476"/>
      <c r="M25" s="476"/>
      <c r="N25" s="476"/>
      <c r="O25" s="476"/>
      <c r="P25" s="167"/>
    </row>
    <row r="26" spans="1:16" ht="18" customHeight="1" x14ac:dyDescent="0.3">
      <c r="A26" s="476"/>
      <c r="B26" s="994"/>
      <c r="C26" s="995" t="s">
        <v>664</v>
      </c>
      <c r="D26" s="996"/>
      <c r="E26" s="996"/>
      <c r="F26" s="996"/>
      <c r="G26" s="997"/>
      <c r="H26" s="997"/>
      <c r="I26" s="997"/>
      <c r="J26" s="997"/>
      <c r="K26" s="997"/>
      <c r="L26" s="997"/>
      <c r="M26" s="998"/>
      <c r="N26" s="167"/>
      <c r="O26" s="167"/>
      <c r="P26" s="167"/>
    </row>
    <row r="27" spans="1:16" ht="18" customHeight="1" x14ac:dyDescent="0.25">
      <c r="A27" s="476"/>
      <c r="B27" s="999"/>
      <c r="C27" s="1000" t="s">
        <v>665</v>
      </c>
      <c r="D27" s="1001"/>
      <c r="E27" s="1001"/>
      <c r="F27" s="1002"/>
      <c r="G27" s="1002"/>
      <c r="H27" s="1002"/>
      <c r="I27" s="1002"/>
      <c r="J27" s="1003"/>
      <c r="K27" s="1003"/>
      <c r="L27" s="1002"/>
      <c r="M27" s="1004"/>
      <c r="N27" s="476"/>
      <c r="O27" s="486"/>
      <c r="P27" s="167"/>
    </row>
    <row r="28" spans="1:16" ht="18" customHeight="1" x14ac:dyDescent="0.25">
      <c r="A28" s="476"/>
      <c r="B28" s="1005"/>
      <c r="C28" s="1006" t="s">
        <v>666</v>
      </c>
      <c r="D28" s="1007"/>
      <c r="E28" s="1007"/>
      <c r="F28" s="1007"/>
      <c r="G28" s="1007"/>
      <c r="H28" s="1007"/>
      <c r="I28" s="1007"/>
      <c r="J28" s="1008"/>
      <c r="K28" s="1008"/>
      <c r="L28" s="1007"/>
      <c r="M28" s="1009"/>
      <c r="N28" s="476"/>
      <c r="O28" s="486"/>
      <c r="P28" s="167"/>
    </row>
    <row r="29" spans="1:16" ht="12" customHeight="1" x14ac:dyDescent="0.25">
      <c r="A29" s="476"/>
      <c r="B29" s="485"/>
      <c r="C29" s="485"/>
      <c r="D29" s="485"/>
      <c r="E29" s="485"/>
      <c r="F29" s="485"/>
      <c r="G29" s="485"/>
      <c r="H29" s="485"/>
      <c r="I29" s="485"/>
      <c r="J29" s="476"/>
      <c r="K29" s="476"/>
      <c r="L29" s="485"/>
      <c r="M29" s="485"/>
      <c r="N29" s="485"/>
      <c r="O29" s="486"/>
      <c r="P29" s="167"/>
    </row>
    <row r="30" spans="1:16" ht="12" customHeight="1" x14ac:dyDescent="0.25">
      <c r="A30" s="476"/>
      <c r="B30" s="485"/>
      <c r="C30" s="485"/>
      <c r="D30" s="485"/>
      <c r="E30" s="485"/>
      <c r="F30" s="485"/>
      <c r="G30" s="485"/>
      <c r="H30" s="485"/>
      <c r="I30" s="485"/>
      <c r="J30" s="476"/>
      <c r="K30" s="476"/>
      <c r="L30" s="485"/>
      <c r="M30" s="485"/>
      <c r="N30" s="485"/>
      <c r="O30" s="486"/>
      <c r="P30" s="167"/>
    </row>
    <row r="31" spans="1:16" ht="15" customHeight="1" x14ac:dyDescent="0.35">
      <c r="A31" s="476"/>
      <c r="B31" s="1016" t="s">
        <v>667</v>
      </c>
      <c r="C31" s="1017"/>
      <c r="D31" s="1017"/>
      <c r="E31" s="1017"/>
      <c r="F31" s="485"/>
      <c r="G31" s="485"/>
      <c r="H31" s="485"/>
      <c r="I31" s="485"/>
      <c r="J31" s="476"/>
      <c r="K31" s="476"/>
      <c r="L31" s="485"/>
      <c r="M31" s="485"/>
      <c r="N31" s="485"/>
      <c r="O31" s="486"/>
      <c r="P31" s="167"/>
    </row>
    <row r="32" spans="1:16" ht="9" customHeight="1" x14ac:dyDescent="0.3">
      <c r="A32" s="476"/>
      <c r="B32" s="484"/>
      <c r="C32" s="482"/>
      <c r="D32" s="482"/>
      <c r="E32" s="482"/>
      <c r="F32" s="482"/>
      <c r="G32" s="482"/>
      <c r="H32" s="476"/>
      <c r="I32" s="476"/>
      <c r="J32" s="476"/>
      <c r="K32" s="476"/>
      <c r="L32" s="476"/>
      <c r="M32" s="476"/>
      <c r="N32" s="476"/>
      <c r="O32" s="476"/>
      <c r="P32" s="167"/>
    </row>
    <row r="33" spans="1:16" x14ac:dyDescent="0.25">
      <c r="A33" s="476"/>
      <c r="B33" s="1018" t="s">
        <v>668</v>
      </c>
      <c r="C33" s="485"/>
      <c r="D33" s="485"/>
      <c r="E33" s="485"/>
      <c r="F33" s="485"/>
      <c r="G33" s="485"/>
      <c r="H33" s="485"/>
      <c r="I33" s="485"/>
      <c r="J33" s="476"/>
      <c r="K33" s="485"/>
      <c r="L33" s="485"/>
      <c r="M33" s="485"/>
      <c r="N33" s="485"/>
      <c r="O33" s="486"/>
      <c r="P33" s="167"/>
    </row>
    <row r="34" spans="1:16" ht="16.5" customHeight="1" x14ac:dyDescent="0.25">
      <c r="A34" s="476"/>
      <c r="B34" s="1018" t="s">
        <v>669</v>
      </c>
      <c r="C34" s="485"/>
      <c r="D34" s="485"/>
      <c r="E34" s="485"/>
      <c r="F34" s="485"/>
      <c r="G34" s="485"/>
      <c r="H34" s="485"/>
      <c r="I34" s="485"/>
      <c r="J34" s="485"/>
      <c r="K34" s="485"/>
      <c r="L34" s="485"/>
      <c r="M34" s="485"/>
      <c r="N34" s="485"/>
      <c r="O34" s="486"/>
      <c r="P34" s="167"/>
    </row>
    <row r="35" spans="1:16" ht="15.75" customHeight="1" x14ac:dyDescent="0.25">
      <c r="A35" s="476"/>
      <c r="B35" s="807" t="s">
        <v>670</v>
      </c>
      <c r="C35" s="480"/>
      <c r="D35" s="480"/>
      <c r="E35" s="480"/>
      <c r="F35" s="485"/>
      <c r="G35" s="485"/>
      <c r="H35" s="485"/>
      <c r="I35" s="485"/>
      <c r="J35" s="485"/>
      <c r="K35" s="485"/>
      <c r="L35" s="485"/>
      <c r="M35" s="485"/>
      <c r="N35" s="485"/>
      <c r="O35" s="486"/>
      <c r="P35" s="167"/>
    </row>
    <row r="36" spans="1:16" ht="15.75" customHeight="1" x14ac:dyDescent="0.25">
      <c r="A36" s="476"/>
      <c r="B36" s="807" t="s">
        <v>671</v>
      </c>
      <c r="C36" s="480"/>
      <c r="D36" s="480"/>
      <c r="E36" s="480"/>
      <c r="F36" s="485"/>
      <c r="G36" s="485"/>
      <c r="H36" s="485"/>
      <c r="I36" s="485"/>
      <c r="J36" s="485"/>
      <c r="K36" s="485"/>
      <c r="L36" s="485"/>
      <c r="M36" s="485"/>
      <c r="N36" s="485"/>
      <c r="O36" s="486"/>
      <c r="P36" s="167"/>
    </row>
    <row r="37" spans="1:16" ht="17.25" customHeight="1" x14ac:dyDescent="0.25">
      <c r="A37" s="476"/>
      <c r="B37" s="480"/>
      <c r="C37" s="480"/>
      <c r="D37" s="480"/>
      <c r="E37" s="480"/>
      <c r="F37" s="485"/>
      <c r="G37" s="485"/>
      <c r="H37" s="485"/>
      <c r="I37" s="485"/>
      <c r="J37" s="485"/>
      <c r="K37" s="485"/>
      <c r="L37" s="485"/>
      <c r="M37" s="485"/>
      <c r="N37" s="485"/>
      <c r="O37" s="486"/>
      <c r="P37" s="167"/>
    </row>
    <row r="38" spans="1:16" ht="19.5" customHeight="1" x14ac:dyDescent="0.25">
      <c r="A38" s="476"/>
      <c r="B38" s="1010"/>
      <c r="C38" s="995" t="s">
        <v>672</v>
      </c>
      <c r="D38" s="1011"/>
      <c r="E38" s="1011"/>
      <c r="F38" s="1011"/>
      <c r="G38" s="1011"/>
      <c r="H38" s="1011"/>
      <c r="I38" s="1011"/>
      <c r="J38" s="1011"/>
      <c r="K38" s="1011"/>
      <c r="L38" s="1011"/>
      <c r="M38" s="1012"/>
      <c r="N38" s="486"/>
      <c r="O38" s="486"/>
      <c r="P38" s="167"/>
    </row>
    <row r="39" spans="1:16" ht="19.5" customHeight="1" x14ac:dyDescent="0.25">
      <c r="A39" s="476"/>
      <c r="B39" s="1013"/>
      <c r="C39" s="1006" t="s">
        <v>687</v>
      </c>
      <c r="D39" s="1014"/>
      <c r="E39" s="1014"/>
      <c r="F39" s="1014"/>
      <c r="G39" s="1014"/>
      <c r="H39" s="1014"/>
      <c r="I39" s="1014"/>
      <c r="J39" s="1014"/>
      <c r="K39" s="1014"/>
      <c r="L39" s="1014"/>
      <c r="M39" s="1015"/>
      <c r="N39" s="486"/>
      <c r="O39" s="486"/>
      <c r="P39" s="167"/>
    </row>
    <row r="40" spans="1:16" ht="12.75" customHeight="1" x14ac:dyDescent="0.3">
      <c r="A40" s="476"/>
      <c r="B40" s="480"/>
      <c r="C40" s="1019"/>
      <c r="D40" s="486"/>
      <c r="E40" s="486"/>
      <c r="F40" s="486"/>
      <c r="G40" s="486"/>
      <c r="H40" s="486"/>
      <c r="I40" s="486"/>
      <c r="J40" s="486"/>
      <c r="K40" s="486"/>
      <c r="L40" s="486"/>
      <c r="M40" s="486"/>
      <c r="N40" s="486"/>
      <c r="O40" s="486"/>
      <c r="P40" s="167"/>
    </row>
    <row r="41" spans="1:16" x14ac:dyDescent="0.25">
      <c r="A41" s="476"/>
      <c r="B41" s="483"/>
      <c r="C41" s="486"/>
      <c r="D41" s="486"/>
      <c r="E41" s="486"/>
      <c r="F41" s="486"/>
      <c r="G41" s="486"/>
      <c r="H41" s="486"/>
      <c r="I41" s="486"/>
      <c r="J41" s="486"/>
      <c r="K41" s="486"/>
      <c r="L41" s="486"/>
      <c r="M41" s="486"/>
      <c r="N41" s="486"/>
      <c r="O41" s="486"/>
      <c r="P41" s="167"/>
    </row>
    <row r="42" spans="1:16" ht="17.25" hidden="1" customHeight="1" x14ac:dyDescent="0.25">
      <c r="A42" s="167"/>
      <c r="B42" s="170"/>
      <c r="C42" s="170"/>
      <c r="D42" s="170"/>
      <c r="E42" s="170"/>
      <c r="F42" s="170"/>
      <c r="G42" s="170"/>
      <c r="H42" s="170"/>
      <c r="I42" s="170"/>
      <c r="J42" s="170"/>
      <c r="K42" s="170"/>
      <c r="L42" s="170"/>
      <c r="M42" s="170"/>
      <c r="N42" s="170"/>
      <c r="O42" s="170"/>
      <c r="P42" s="167"/>
    </row>
    <row r="43" spans="1:16" ht="17.25" hidden="1" customHeight="1" x14ac:dyDescent="0.25">
      <c r="A43" s="167"/>
      <c r="B43" s="170"/>
      <c r="C43" s="170"/>
      <c r="D43" s="170"/>
      <c r="E43" s="170"/>
      <c r="F43" s="170"/>
      <c r="G43" s="170"/>
      <c r="H43" s="170"/>
      <c r="I43" s="170"/>
      <c r="J43" s="170"/>
      <c r="K43" s="170"/>
      <c r="L43" s="170"/>
      <c r="M43" s="170"/>
      <c r="N43" s="170"/>
      <c r="O43" s="170"/>
      <c r="P43" s="167"/>
    </row>
    <row r="44" spans="1:16" ht="17.25" hidden="1" customHeight="1" x14ac:dyDescent="0.25">
      <c r="A44" s="167"/>
      <c r="B44" s="170"/>
      <c r="C44" s="170"/>
      <c r="D44" s="170"/>
      <c r="E44" s="170"/>
      <c r="F44" s="170"/>
      <c r="G44" s="170"/>
      <c r="H44" s="170"/>
      <c r="I44" s="170"/>
      <c r="J44" s="170"/>
      <c r="K44" s="170"/>
      <c r="L44" s="170"/>
      <c r="M44" s="170"/>
      <c r="N44" s="170"/>
      <c r="O44" s="170"/>
      <c r="P44" s="167"/>
    </row>
    <row r="45" spans="1:16" ht="17.25" hidden="1" customHeight="1" x14ac:dyDescent="0.25">
      <c r="A45" s="167"/>
      <c r="B45" s="170"/>
      <c r="C45" s="170"/>
      <c r="D45" s="170"/>
      <c r="E45" s="170"/>
      <c r="F45" s="170"/>
      <c r="G45" s="170"/>
      <c r="H45" s="170"/>
      <c r="I45" s="170"/>
      <c r="J45" s="170"/>
      <c r="K45" s="170"/>
      <c r="L45" s="170"/>
      <c r="M45" s="170"/>
      <c r="N45" s="170"/>
      <c r="O45" s="170"/>
      <c r="P45" s="167"/>
    </row>
    <row r="46" spans="1:16" ht="17.25" hidden="1" customHeight="1" x14ac:dyDescent="0.25">
      <c r="A46" s="167"/>
      <c r="B46" s="170"/>
      <c r="C46" s="170"/>
      <c r="D46" s="170"/>
      <c r="E46" s="170"/>
      <c r="F46" s="170"/>
      <c r="G46" s="170"/>
      <c r="H46" s="170"/>
      <c r="I46" s="170"/>
      <c r="J46" s="170"/>
      <c r="K46" s="170"/>
      <c r="L46" s="170"/>
      <c r="M46" s="170"/>
      <c r="N46" s="170"/>
      <c r="O46" s="170"/>
      <c r="P46" s="167"/>
    </row>
    <row r="47" spans="1:16" ht="17.25" hidden="1" customHeight="1" x14ac:dyDescent="0.25">
      <c r="A47" s="167"/>
      <c r="B47" s="170"/>
      <c r="C47" s="170"/>
      <c r="D47" s="170"/>
      <c r="E47" s="170"/>
      <c r="F47" s="170"/>
      <c r="G47" s="170"/>
      <c r="H47" s="170"/>
      <c r="I47" s="170"/>
      <c r="J47" s="170"/>
      <c r="K47" s="170"/>
      <c r="L47" s="170"/>
      <c r="M47" s="170"/>
      <c r="N47" s="170"/>
      <c r="O47" s="170"/>
      <c r="P47" s="167"/>
    </row>
    <row r="48" spans="1:1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algorithmName="SHA-512" hashValue="gkkEVuqpGoHv9cLWOwr2FSpZvWZxrldCRYJZpMdV06QK/BhxE1h063SlX0qI0I81jC/OgVEDgW7AfhRInG3KJg==" saltValue="NSZuqK466zbqB/mmzKR9aw==" spinCount="100000" sheet="1" objects="1" scenarios="1"/>
  <mergeCells count="8">
    <mergeCell ref="J2:K2"/>
    <mergeCell ref="J3:K3"/>
    <mergeCell ref="J4:K4"/>
    <mergeCell ref="J1:O1"/>
    <mergeCell ref="A1:I1"/>
    <mergeCell ref="B2:E2"/>
    <mergeCell ref="B3:E3"/>
    <mergeCell ref="B4:E4"/>
  </mergeCells>
  <hyperlinks>
    <hyperlink ref="B3" location="Instructions!B16" tooltip="How to use this tool?" display="2. How to use this tool?"/>
    <hyperlink ref="B2" location="Instructions!B8" tooltip="General" display="1. General"/>
    <hyperlink ref="B4" location="Instructions!B35" tooltip="LOTUS Homes Submissions" display="3. LOTUS Homes Submissions"/>
    <hyperlink ref="B4:E4" location="Recommendations!B31" tooltip="Credit Compliance" display="3. Credit Compliance"/>
    <hyperlink ref="B3:E3" location="Recommendations!B17" tooltip="Selection of targeted credits" display="2. Selection of targeted credits"/>
    <hyperlink ref="B2:E2" location="Recommendations!B9" tooltip="Project and Objectives" display="1. Define the project and objectives"/>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AF00"/>
  </sheetPr>
  <dimension ref="A1:S367"/>
  <sheetViews>
    <sheetView showRowColHeaders="0" zoomScaleNormal="100" workbookViewId="0">
      <pane ySplit="1" topLeftCell="A2" activePane="bottomLeft" state="frozen"/>
      <selection pane="bottomLeft" activeCell="A137" sqref="A137:Q200"/>
    </sheetView>
  </sheetViews>
  <sheetFormatPr defaultColWidth="0" defaultRowHeight="15" zeroHeight="1" x14ac:dyDescent="0.25"/>
  <cols>
    <col min="1" max="1" width="4.140625" customWidth="1"/>
    <col min="2" max="3" width="11.85546875" customWidth="1"/>
    <col min="4" max="17" width="9.140625" customWidth="1"/>
    <col min="18" max="16384" width="9.140625" hidden="1"/>
  </cols>
  <sheetData>
    <row r="1" spans="1:18" s="906" customFormat="1" ht="30" customHeight="1" x14ac:dyDescent="0.2">
      <c r="A1" s="1367" t="s">
        <v>130</v>
      </c>
      <c r="B1" s="1367"/>
      <c r="C1" s="1367"/>
      <c r="D1" s="1367"/>
      <c r="E1" s="1367"/>
      <c r="F1" s="1367"/>
      <c r="G1" s="1367"/>
      <c r="H1" s="1367"/>
      <c r="I1" s="1367"/>
      <c r="J1" s="1367"/>
      <c r="K1" s="1367"/>
      <c r="L1" s="1367"/>
      <c r="M1" s="1367"/>
      <c r="N1" s="1367"/>
      <c r="O1" s="1367"/>
      <c r="P1" s="1367"/>
      <c r="Q1" s="1367"/>
    </row>
    <row r="2" spans="1:18" s="11" customFormat="1" ht="21.75" customHeight="1" x14ac:dyDescent="0.2">
      <c r="A2" s="12"/>
      <c r="B2" s="12"/>
      <c r="C2" s="12"/>
      <c r="D2" s="13"/>
      <c r="E2" s="13"/>
      <c r="F2" s="13"/>
      <c r="G2" s="13"/>
      <c r="H2" s="13"/>
      <c r="I2" s="13"/>
      <c r="J2" s="13"/>
      <c r="K2" s="13"/>
      <c r="L2" s="13"/>
      <c r="M2" s="13"/>
      <c r="N2" s="13"/>
      <c r="O2" s="13"/>
      <c r="P2" s="13"/>
      <c r="Q2" s="13"/>
    </row>
    <row r="3" spans="1:18" s="11" customFormat="1" ht="23.25" customHeight="1" x14ac:dyDescent="0.2">
      <c r="A3" s="2566" t="s">
        <v>1509</v>
      </c>
      <c r="B3" s="2566"/>
      <c r="C3" s="2566"/>
      <c r="D3" s="2566"/>
      <c r="E3" s="2566"/>
      <c r="F3" s="2566"/>
      <c r="G3" s="13"/>
      <c r="H3" s="13"/>
      <c r="I3" s="13"/>
      <c r="J3" s="13"/>
      <c r="K3" s="13"/>
      <c r="L3" s="13"/>
      <c r="M3" s="13"/>
      <c r="N3" s="13"/>
      <c r="O3" s="13"/>
      <c r="P3" s="13"/>
      <c r="Q3" s="13"/>
    </row>
    <row r="4" spans="1:18" s="11" customFormat="1" ht="20.25" customHeight="1" x14ac:dyDescent="0.2">
      <c r="A4" s="12"/>
      <c r="B4" s="12"/>
      <c r="C4" s="12"/>
      <c r="D4" s="13"/>
      <c r="E4" s="13"/>
      <c r="F4" s="13"/>
      <c r="G4" s="13"/>
      <c r="H4" s="13"/>
      <c r="I4" s="13"/>
      <c r="J4" s="13"/>
      <c r="K4" s="13"/>
      <c r="L4" s="13"/>
      <c r="M4" s="13"/>
      <c r="N4" s="13"/>
      <c r="O4" s="13"/>
      <c r="P4" s="13"/>
      <c r="Q4" s="13"/>
    </row>
    <row r="5" spans="1:18" s="11" customFormat="1" ht="20.25" customHeight="1" x14ac:dyDescent="0.2">
      <c r="A5" s="12"/>
      <c r="B5" s="2562" t="s">
        <v>1534</v>
      </c>
      <c r="C5" s="2562"/>
      <c r="D5" s="2562"/>
      <c r="E5" s="2562"/>
      <c r="F5" s="2562"/>
      <c r="G5" s="2562"/>
      <c r="H5" s="2562"/>
      <c r="I5" s="2562"/>
      <c r="J5" s="13"/>
      <c r="K5" s="13"/>
      <c r="L5" s="13"/>
      <c r="M5" s="13"/>
      <c r="N5" s="13"/>
      <c r="O5" s="13"/>
      <c r="P5" s="13"/>
      <c r="Q5" s="13"/>
    </row>
    <row r="6" spans="1:18" s="11" customFormat="1" ht="18" customHeight="1" x14ac:dyDescent="0.2">
      <c r="A6" s="12"/>
      <c r="B6" s="2560" t="s">
        <v>1510</v>
      </c>
      <c r="C6" s="2560"/>
      <c r="D6" s="2560" t="s">
        <v>1511</v>
      </c>
      <c r="E6" s="2560"/>
      <c r="F6" s="2560"/>
      <c r="G6" s="2560"/>
      <c r="H6" s="2560" t="s">
        <v>1532</v>
      </c>
      <c r="I6" s="2560"/>
      <c r="J6" s="13"/>
      <c r="K6" s="13"/>
      <c r="L6" s="13"/>
      <c r="M6" s="13"/>
      <c r="N6" s="13"/>
      <c r="O6" s="13"/>
      <c r="P6" s="13"/>
      <c r="Q6" s="13"/>
      <c r="R6" s="13"/>
    </row>
    <row r="7" spans="1:18" s="11" customFormat="1" ht="18" customHeight="1" x14ac:dyDescent="0.2">
      <c r="A7" s="12"/>
      <c r="B7" s="2546"/>
      <c r="C7" s="2546"/>
      <c r="D7" s="2546" t="s">
        <v>1512</v>
      </c>
      <c r="E7" s="2546"/>
      <c r="F7" s="2546" t="s">
        <v>1513</v>
      </c>
      <c r="G7" s="2546"/>
      <c r="H7" s="2546"/>
      <c r="I7" s="2546"/>
      <c r="J7" s="13"/>
      <c r="K7" s="13"/>
      <c r="L7" s="13"/>
      <c r="M7" s="13"/>
      <c r="N7" s="13"/>
      <c r="O7" s="13"/>
      <c r="P7" s="13"/>
      <c r="Q7" s="13"/>
      <c r="R7" s="13"/>
    </row>
    <row r="8" spans="1:18" s="11" customFormat="1" ht="27" customHeight="1" x14ac:dyDescent="0.2">
      <c r="A8" s="12"/>
      <c r="B8" s="1873" t="s">
        <v>1514</v>
      </c>
      <c r="C8" s="1873"/>
      <c r="D8" s="1873">
        <v>3</v>
      </c>
      <c r="E8" s="1873"/>
      <c r="F8" s="1873">
        <v>0.5</v>
      </c>
      <c r="G8" s="1873"/>
      <c r="H8" s="1873" t="s">
        <v>1515</v>
      </c>
      <c r="I8" s="1873"/>
      <c r="J8" s="13"/>
      <c r="K8" s="13"/>
      <c r="L8" s="13"/>
      <c r="M8" s="13"/>
      <c r="N8" s="13"/>
      <c r="O8" s="13"/>
      <c r="P8" s="13"/>
      <c r="Q8" s="13"/>
      <c r="R8" s="13"/>
    </row>
    <row r="9" spans="1:18" s="11" customFormat="1" ht="12" customHeight="1" x14ac:dyDescent="0.2">
      <c r="A9" s="12"/>
      <c r="B9" s="1873" t="s">
        <v>1516</v>
      </c>
      <c r="C9" s="1873"/>
      <c r="D9" s="2567" t="s">
        <v>1517</v>
      </c>
      <c r="E9" s="2567"/>
      <c r="F9" s="2567" t="s">
        <v>1519</v>
      </c>
      <c r="G9" s="2567"/>
      <c r="H9" s="1873" t="s">
        <v>1515</v>
      </c>
      <c r="I9" s="1873"/>
      <c r="J9" s="13"/>
      <c r="K9" s="13"/>
      <c r="L9" s="13"/>
      <c r="M9" s="13"/>
      <c r="N9" s="13"/>
      <c r="O9" s="13"/>
      <c r="P9" s="13"/>
      <c r="Q9" s="13"/>
      <c r="R9" s="13"/>
    </row>
    <row r="10" spans="1:18" s="11" customFormat="1" ht="12" customHeight="1" x14ac:dyDescent="0.2">
      <c r="A10" s="12"/>
      <c r="B10" s="1873"/>
      <c r="C10" s="1873"/>
      <c r="D10" s="2302" t="s">
        <v>1518</v>
      </c>
      <c r="E10" s="2302"/>
      <c r="F10" s="2302" t="s">
        <v>1520</v>
      </c>
      <c r="G10" s="2302"/>
      <c r="H10" s="1873"/>
      <c r="I10" s="1873"/>
      <c r="J10" s="13"/>
      <c r="K10" s="13"/>
      <c r="L10" s="13"/>
      <c r="M10" s="13"/>
      <c r="N10" s="13"/>
      <c r="O10" s="13"/>
      <c r="P10" s="13"/>
      <c r="Q10" s="13"/>
      <c r="R10" s="13"/>
    </row>
    <row r="11" spans="1:18" s="11" customFormat="1" ht="25.5" customHeight="1" x14ac:dyDescent="0.2">
      <c r="A11" s="12"/>
      <c r="B11" s="1873" t="s">
        <v>1521</v>
      </c>
      <c r="C11" s="1873"/>
      <c r="D11" s="1873">
        <v>1</v>
      </c>
      <c r="E11" s="1873"/>
      <c r="F11" s="1873">
        <v>0.1</v>
      </c>
      <c r="G11" s="1873"/>
      <c r="H11" s="1873" t="s">
        <v>1515</v>
      </c>
      <c r="I11" s="1873"/>
      <c r="J11" s="13"/>
      <c r="K11" s="13"/>
      <c r="L11" s="13"/>
      <c r="M11" s="13"/>
      <c r="N11" s="13"/>
      <c r="O11" s="13"/>
      <c r="P11" s="13"/>
      <c r="Q11" s="13"/>
      <c r="R11" s="13"/>
    </row>
    <row r="12" spans="1:18" s="11" customFormat="1" ht="18" customHeight="1" x14ac:dyDescent="0.2">
      <c r="A12" s="12"/>
      <c r="B12" s="1873" t="s">
        <v>1522</v>
      </c>
      <c r="C12" s="1873"/>
      <c r="D12" s="1873" t="s">
        <v>1523</v>
      </c>
      <c r="E12" s="1873"/>
      <c r="F12" s="1873" t="s">
        <v>1524</v>
      </c>
      <c r="G12" s="1873"/>
      <c r="H12" s="1873" t="s">
        <v>1515</v>
      </c>
      <c r="I12" s="1873"/>
      <c r="J12" s="13"/>
      <c r="K12" s="13"/>
      <c r="L12" s="13"/>
      <c r="M12" s="13"/>
      <c r="N12" s="13"/>
      <c r="O12" s="13"/>
      <c r="P12" s="13"/>
      <c r="Q12" s="13"/>
      <c r="R12" s="13"/>
    </row>
    <row r="13" spans="1:18" s="11" customFormat="1" ht="18" customHeight="1" x14ac:dyDescent="0.2">
      <c r="A13" s="12"/>
      <c r="B13" s="1873" t="s">
        <v>1525</v>
      </c>
      <c r="C13" s="1873"/>
      <c r="D13" s="1873">
        <v>2</v>
      </c>
      <c r="E13" s="1873"/>
      <c r="F13" s="1873">
        <v>0.4</v>
      </c>
      <c r="G13" s="1873"/>
      <c r="H13" s="1873" t="s">
        <v>1515</v>
      </c>
      <c r="I13" s="1873"/>
      <c r="J13" s="13"/>
      <c r="K13" s="13"/>
      <c r="L13" s="13"/>
      <c r="M13" s="13"/>
      <c r="N13" s="13"/>
      <c r="O13" s="13"/>
      <c r="P13" s="13"/>
      <c r="Q13" s="13"/>
      <c r="R13" s="13"/>
    </row>
    <row r="14" spans="1:18" s="11" customFormat="1" ht="27" customHeight="1" x14ac:dyDescent="0.2">
      <c r="A14" s="12"/>
      <c r="B14" s="1873" t="s">
        <v>1526</v>
      </c>
      <c r="C14" s="1873"/>
      <c r="D14" s="1873">
        <v>3</v>
      </c>
      <c r="E14" s="1873"/>
      <c r="F14" s="1873">
        <v>0.5</v>
      </c>
      <c r="G14" s="1873"/>
      <c r="H14" s="1873" t="s">
        <v>1527</v>
      </c>
      <c r="I14" s="1873"/>
      <c r="J14" s="13"/>
      <c r="K14" s="13"/>
      <c r="L14" s="13"/>
      <c r="M14" s="13"/>
      <c r="N14" s="13"/>
      <c r="O14" s="13"/>
      <c r="P14" s="13"/>
      <c r="Q14" s="13"/>
      <c r="R14" s="13"/>
    </row>
    <row r="15" spans="1:18" s="11" customFormat="1" ht="18" customHeight="1" x14ac:dyDescent="0.2">
      <c r="A15" s="12"/>
      <c r="B15" s="1873" t="s">
        <v>1528</v>
      </c>
      <c r="C15" s="1873"/>
      <c r="D15" s="1873">
        <v>0.1</v>
      </c>
      <c r="E15" s="1873"/>
      <c r="F15" s="1873">
        <v>0</v>
      </c>
      <c r="G15" s="1873"/>
      <c r="H15" s="1873" t="s">
        <v>1529</v>
      </c>
      <c r="I15" s="1873"/>
      <c r="J15" s="13"/>
      <c r="K15" s="13"/>
      <c r="L15" s="13"/>
      <c r="M15" s="13"/>
      <c r="N15" s="13"/>
      <c r="O15" s="13"/>
      <c r="P15" s="13"/>
      <c r="Q15" s="13"/>
      <c r="R15" s="13"/>
    </row>
    <row r="16" spans="1:18" s="11" customFormat="1" ht="18" customHeight="1" x14ac:dyDescent="0.2">
      <c r="A16" s="12"/>
      <c r="B16" s="1873" t="s">
        <v>1530</v>
      </c>
      <c r="C16" s="1873"/>
      <c r="D16" s="1873">
        <v>1</v>
      </c>
      <c r="E16" s="1873"/>
      <c r="F16" s="1873">
        <v>0</v>
      </c>
      <c r="G16" s="1873"/>
      <c r="H16" s="1873" t="s">
        <v>1531</v>
      </c>
      <c r="I16" s="1873"/>
      <c r="J16" s="13"/>
      <c r="K16" s="13"/>
      <c r="L16" s="13"/>
      <c r="M16" s="13"/>
      <c r="N16" s="13"/>
      <c r="O16" s="13"/>
      <c r="P16" s="13"/>
      <c r="Q16" s="13"/>
      <c r="R16" s="13"/>
    </row>
    <row r="17" spans="1:19" s="11" customFormat="1" ht="18" customHeight="1" x14ac:dyDescent="0.2">
      <c r="A17" s="12"/>
      <c r="B17" s="913" t="s">
        <v>1533</v>
      </c>
      <c r="C17" s="12"/>
      <c r="D17" s="13"/>
      <c r="E17" s="13"/>
      <c r="F17" s="13"/>
      <c r="G17" s="13"/>
      <c r="H17" s="13"/>
      <c r="I17" s="13"/>
      <c r="J17" s="13"/>
      <c r="K17" s="13"/>
      <c r="L17" s="13"/>
      <c r="M17" s="13"/>
      <c r="N17" s="13"/>
      <c r="O17" s="13"/>
      <c r="P17" s="13"/>
      <c r="Q17" s="13"/>
    </row>
    <row r="18" spans="1:19" s="11" customFormat="1" ht="18" customHeight="1" x14ac:dyDescent="0.2">
      <c r="A18" s="12"/>
      <c r="B18" s="913"/>
      <c r="C18" s="12"/>
      <c r="D18" s="13"/>
      <c r="E18" s="13"/>
      <c r="F18" s="13"/>
      <c r="G18" s="13"/>
      <c r="H18" s="13"/>
      <c r="I18" s="13"/>
      <c r="J18" s="13"/>
      <c r="K18" s="13"/>
      <c r="L18" s="13"/>
      <c r="M18" s="13"/>
      <c r="N18" s="13"/>
      <c r="O18" s="13"/>
      <c r="P18" s="13"/>
      <c r="Q18" s="13"/>
    </row>
    <row r="19" spans="1:19" s="11" customFormat="1" ht="18" customHeight="1" x14ac:dyDescent="0.2">
      <c r="A19" s="12"/>
      <c r="B19" s="2562" t="s">
        <v>1535</v>
      </c>
      <c r="C19" s="2562"/>
      <c r="D19" s="2562"/>
      <c r="E19" s="2562"/>
      <c r="F19" s="2562"/>
      <c r="G19" s="2562"/>
      <c r="H19" s="2562"/>
      <c r="I19" s="2562"/>
      <c r="J19" s="2562"/>
      <c r="K19" s="2562"/>
      <c r="L19" s="13"/>
      <c r="M19" s="13"/>
      <c r="N19" s="13"/>
      <c r="O19" s="13"/>
      <c r="P19" s="13"/>
      <c r="Q19" s="13"/>
    </row>
    <row r="20" spans="1:19" s="11" customFormat="1" ht="18" customHeight="1" x14ac:dyDescent="0.2">
      <c r="A20" s="12"/>
      <c r="B20" s="2560" t="s">
        <v>1510</v>
      </c>
      <c r="C20" s="2560"/>
      <c r="D20" s="2560" t="s">
        <v>1511</v>
      </c>
      <c r="E20" s="2560"/>
      <c r="F20" s="2560"/>
      <c r="G20" s="2560"/>
      <c r="H20" s="2560"/>
      <c r="I20" s="2560"/>
      <c r="J20" s="2560" t="s">
        <v>1532</v>
      </c>
      <c r="K20" s="2560"/>
      <c r="L20" s="13"/>
      <c r="M20" s="13"/>
      <c r="N20" s="13"/>
      <c r="O20" s="13"/>
      <c r="P20" s="13"/>
      <c r="Q20" s="13"/>
      <c r="R20" s="13"/>
      <c r="S20" s="13"/>
    </row>
    <row r="21" spans="1:19" s="11" customFormat="1" ht="24.75" customHeight="1" x14ac:dyDescent="0.2">
      <c r="A21" s="12"/>
      <c r="B21" s="2546"/>
      <c r="C21" s="2546"/>
      <c r="D21" s="2546" t="s">
        <v>1536</v>
      </c>
      <c r="E21" s="2546"/>
      <c r="F21" s="2546" t="s">
        <v>1512</v>
      </c>
      <c r="G21" s="2546"/>
      <c r="H21" s="2561" t="s">
        <v>1513</v>
      </c>
      <c r="I21" s="2561"/>
      <c r="J21" s="2546"/>
      <c r="K21" s="2546"/>
      <c r="L21" s="13"/>
      <c r="M21" s="13"/>
      <c r="N21" s="13"/>
      <c r="O21" s="13"/>
      <c r="P21" s="13"/>
      <c r="Q21" s="13"/>
      <c r="R21" s="13"/>
      <c r="S21" s="13"/>
    </row>
    <row r="22" spans="1:19" s="11" customFormat="1" ht="18" customHeight="1" x14ac:dyDescent="0.2">
      <c r="A22" s="12"/>
      <c r="B22" s="1873" t="s">
        <v>1514</v>
      </c>
      <c r="C22" s="1873"/>
      <c r="D22" s="1873">
        <v>4</v>
      </c>
      <c r="E22" s="1873"/>
      <c r="F22" s="1873">
        <v>3</v>
      </c>
      <c r="G22" s="1873"/>
      <c r="H22" s="1873">
        <v>0.5</v>
      </c>
      <c r="I22" s="1873"/>
      <c r="J22" s="1873" t="s">
        <v>1515</v>
      </c>
      <c r="K22" s="1873"/>
      <c r="L22" s="13"/>
      <c r="M22" s="13"/>
      <c r="N22" s="13"/>
      <c r="O22" s="13"/>
      <c r="P22" s="13"/>
      <c r="Q22" s="13"/>
      <c r="R22" s="13"/>
      <c r="S22" s="13"/>
    </row>
    <row r="23" spans="1:19" s="11" customFormat="1" ht="13.5" customHeight="1" x14ac:dyDescent="0.2">
      <c r="A23" s="12"/>
      <c r="B23" s="1873" t="s">
        <v>1516</v>
      </c>
      <c r="C23" s="1873"/>
      <c r="D23" s="2556" t="s">
        <v>1537</v>
      </c>
      <c r="E23" s="2557"/>
      <c r="F23" s="2556" t="s">
        <v>1538</v>
      </c>
      <c r="G23" s="2557"/>
      <c r="H23" s="2556" t="s">
        <v>1539</v>
      </c>
      <c r="I23" s="2557"/>
      <c r="J23" s="1873" t="s">
        <v>1515</v>
      </c>
      <c r="K23" s="1873"/>
      <c r="L23" s="13"/>
      <c r="M23" s="13"/>
      <c r="N23" s="13"/>
      <c r="O23" s="13"/>
      <c r="P23" s="13"/>
      <c r="Q23" s="13"/>
      <c r="R23" s="13"/>
      <c r="S23" s="13"/>
    </row>
    <row r="24" spans="1:19" s="11" customFormat="1" ht="13.5" customHeight="1" x14ac:dyDescent="0.2">
      <c r="A24" s="12"/>
      <c r="B24" s="1873"/>
      <c r="C24" s="1873"/>
      <c r="D24" s="2558"/>
      <c r="E24" s="2559"/>
      <c r="F24" s="2558"/>
      <c r="G24" s="2559"/>
      <c r="H24" s="2558"/>
      <c r="I24" s="2559"/>
      <c r="J24" s="1873"/>
      <c r="K24" s="1873"/>
      <c r="L24" s="13"/>
      <c r="M24" s="13"/>
      <c r="N24" s="13"/>
      <c r="O24" s="13"/>
      <c r="P24" s="13"/>
      <c r="Q24" s="13"/>
      <c r="R24" s="13"/>
      <c r="S24" s="13"/>
    </row>
    <row r="25" spans="1:19" s="11" customFormat="1" ht="18" customHeight="1" x14ac:dyDescent="0.2">
      <c r="A25" s="12"/>
      <c r="B25" s="1873" t="s">
        <v>1521</v>
      </c>
      <c r="C25" s="1873"/>
      <c r="D25" s="1873">
        <v>4</v>
      </c>
      <c r="E25" s="1873"/>
      <c r="F25" s="1873">
        <v>1</v>
      </c>
      <c r="G25" s="1873"/>
      <c r="H25" s="1873">
        <v>0.1</v>
      </c>
      <c r="I25" s="1873"/>
      <c r="J25" s="1873" t="s">
        <v>1515</v>
      </c>
      <c r="K25" s="1873"/>
      <c r="L25" s="13"/>
      <c r="M25" s="13"/>
      <c r="N25" s="13"/>
      <c r="O25" s="13"/>
      <c r="P25" s="13"/>
      <c r="Q25" s="13"/>
      <c r="R25" s="13"/>
      <c r="S25" s="13"/>
    </row>
    <row r="26" spans="1:19" s="11" customFormat="1" ht="25.5" customHeight="1" x14ac:dyDescent="0.2">
      <c r="A26" s="12"/>
      <c r="B26" s="1873" t="s">
        <v>1522</v>
      </c>
      <c r="C26" s="1873"/>
      <c r="D26" s="1873" t="s">
        <v>1537</v>
      </c>
      <c r="E26" s="1873"/>
      <c r="F26" s="1873" t="s">
        <v>1540</v>
      </c>
      <c r="G26" s="1873"/>
      <c r="H26" s="1873" t="s">
        <v>1524</v>
      </c>
      <c r="I26" s="1873"/>
      <c r="J26" s="1873" t="s">
        <v>1515</v>
      </c>
      <c r="K26" s="1873"/>
      <c r="L26" s="13"/>
      <c r="M26" s="13"/>
      <c r="N26" s="13"/>
      <c r="O26" s="13"/>
      <c r="P26" s="13"/>
      <c r="Q26" s="13"/>
      <c r="R26" s="13"/>
      <c r="S26" s="13"/>
    </row>
    <row r="27" spans="1:19" s="11" customFormat="1" ht="18" customHeight="1" x14ac:dyDescent="0.2">
      <c r="A27" s="12"/>
      <c r="B27" s="1873" t="s">
        <v>1525</v>
      </c>
      <c r="C27" s="1873"/>
      <c r="D27" s="1873">
        <v>0</v>
      </c>
      <c r="E27" s="1873"/>
      <c r="F27" s="1873">
        <v>2</v>
      </c>
      <c r="G27" s="1873"/>
      <c r="H27" s="1873">
        <v>0.4</v>
      </c>
      <c r="I27" s="1873"/>
      <c r="J27" s="1873" t="s">
        <v>1515</v>
      </c>
      <c r="K27" s="1873"/>
      <c r="L27" s="13"/>
      <c r="M27" s="13"/>
      <c r="N27" s="13"/>
      <c r="O27" s="13"/>
      <c r="P27" s="13"/>
      <c r="Q27" s="13"/>
      <c r="R27" s="13"/>
      <c r="S27" s="13"/>
    </row>
    <row r="28" spans="1:19" s="11" customFormat="1" ht="38.25" customHeight="1" x14ac:dyDescent="0.2">
      <c r="A28" s="12"/>
      <c r="B28" s="1873" t="s">
        <v>1526</v>
      </c>
      <c r="C28" s="1873"/>
      <c r="D28" s="1873">
        <v>7</v>
      </c>
      <c r="E28" s="1873"/>
      <c r="F28" s="1873">
        <v>3</v>
      </c>
      <c r="G28" s="1873"/>
      <c r="H28" s="1873">
        <v>0.5</v>
      </c>
      <c r="I28" s="1873"/>
      <c r="J28" s="1873" t="s">
        <v>1541</v>
      </c>
      <c r="K28" s="1873"/>
      <c r="L28" s="13"/>
      <c r="M28" s="13"/>
      <c r="N28" s="13"/>
      <c r="O28" s="13"/>
      <c r="P28" s="13"/>
      <c r="Q28" s="13"/>
      <c r="R28" s="13"/>
      <c r="S28" s="13"/>
    </row>
    <row r="29" spans="1:19" s="11" customFormat="1" ht="25.5" customHeight="1" x14ac:dyDescent="0.2">
      <c r="A29" s="12"/>
      <c r="B29" s="1873" t="s">
        <v>1528</v>
      </c>
      <c r="C29" s="1873"/>
      <c r="D29" s="1873">
        <v>1</v>
      </c>
      <c r="E29" s="1873"/>
      <c r="F29" s="1873">
        <v>0.1</v>
      </c>
      <c r="G29" s="1873"/>
      <c r="H29" s="1873">
        <v>0</v>
      </c>
      <c r="I29" s="1873"/>
      <c r="J29" s="1873" t="s">
        <v>1542</v>
      </c>
      <c r="K29" s="1873"/>
      <c r="L29" s="13"/>
      <c r="M29" s="13"/>
      <c r="N29" s="13"/>
      <c r="O29" s="13"/>
      <c r="P29" s="13"/>
      <c r="Q29" s="13"/>
      <c r="R29" s="13"/>
      <c r="S29" s="13"/>
    </row>
    <row r="30" spans="1:19" s="11" customFormat="1" ht="25.5" customHeight="1" x14ac:dyDescent="0.2">
      <c r="A30" s="12"/>
      <c r="B30" s="1873" t="s">
        <v>1530</v>
      </c>
      <c r="C30" s="1873"/>
      <c r="D30" s="1873">
        <v>4</v>
      </c>
      <c r="E30" s="1873"/>
      <c r="F30" s="1873">
        <v>1</v>
      </c>
      <c r="G30" s="1873"/>
      <c r="H30" s="1873">
        <v>0</v>
      </c>
      <c r="I30" s="1873"/>
      <c r="J30" s="1873" t="s">
        <v>1550</v>
      </c>
      <c r="K30" s="1873"/>
      <c r="L30" s="13"/>
      <c r="M30" s="13"/>
      <c r="N30" s="13"/>
      <c r="O30" s="13"/>
      <c r="P30" s="13"/>
      <c r="Q30" s="13"/>
      <c r="R30" s="13"/>
      <c r="S30" s="13"/>
    </row>
    <row r="31" spans="1:19" s="11" customFormat="1" ht="18" customHeight="1" x14ac:dyDescent="0.2">
      <c r="A31" s="12"/>
      <c r="B31" s="1873" t="s">
        <v>1543</v>
      </c>
      <c r="C31" s="1873"/>
      <c r="D31" s="1873" t="s">
        <v>1544</v>
      </c>
      <c r="E31" s="1873"/>
      <c r="F31" s="1873">
        <v>0</v>
      </c>
      <c r="G31" s="1873"/>
      <c r="H31" s="1873">
        <v>0</v>
      </c>
      <c r="I31" s="1873"/>
      <c r="J31" s="1873" t="s">
        <v>1515</v>
      </c>
      <c r="K31" s="1873"/>
      <c r="L31" s="13"/>
      <c r="M31" s="13"/>
      <c r="N31" s="13"/>
      <c r="O31" s="13"/>
      <c r="P31" s="13"/>
      <c r="Q31" s="13"/>
      <c r="R31" s="13"/>
      <c r="S31" s="13"/>
    </row>
    <row r="32" spans="1:19" s="11" customFormat="1" ht="18" customHeight="1" x14ac:dyDescent="0.2">
      <c r="A32" s="12"/>
      <c r="B32" s="913" t="s">
        <v>1533</v>
      </c>
      <c r="C32" s="13"/>
      <c r="D32" s="13"/>
      <c r="E32" s="13"/>
      <c r="F32" s="13"/>
      <c r="G32" s="13"/>
      <c r="H32" s="13"/>
      <c r="I32" s="13"/>
      <c r="J32" s="13"/>
      <c r="K32" s="13"/>
      <c r="L32" s="13"/>
      <c r="M32" s="13"/>
      <c r="N32" s="13"/>
      <c r="O32" s="13"/>
      <c r="P32" s="13"/>
      <c r="Q32" s="13"/>
    </row>
    <row r="33" spans="1:19" s="11" customFormat="1" ht="18" customHeight="1" x14ac:dyDescent="0.2">
      <c r="A33" s="12"/>
      <c r="B33" s="13"/>
      <c r="C33" s="13"/>
      <c r="D33" s="13"/>
      <c r="E33" s="13"/>
      <c r="F33" s="13"/>
      <c r="G33" s="13"/>
      <c r="H33" s="13"/>
      <c r="I33" s="13"/>
      <c r="J33" s="13"/>
      <c r="K33" s="13"/>
      <c r="L33" s="13"/>
      <c r="M33" s="13"/>
      <c r="N33" s="13"/>
      <c r="O33" s="13"/>
      <c r="P33" s="13"/>
      <c r="Q33" s="13"/>
    </row>
    <row r="34" spans="1:19" s="11" customFormat="1" ht="18" customHeight="1" x14ac:dyDescent="0.2">
      <c r="A34" s="12"/>
      <c r="B34" s="2562" t="s">
        <v>1545</v>
      </c>
      <c r="C34" s="2562"/>
      <c r="D34" s="2562"/>
      <c r="E34" s="2562"/>
      <c r="F34" s="2562"/>
      <c r="G34" s="2562"/>
      <c r="H34" s="2562"/>
      <c r="I34" s="2562"/>
      <c r="J34" s="2562"/>
      <c r="K34" s="2562"/>
      <c r="L34" s="13"/>
      <c r="M34" s="13"/>
      <c r="N34" s="13"/>
      <c r="O34" s="13"/>
      <c r="P34" s="13"/>
      <c r="Q34" s="13"/>
    </row>
    <row r="35" spans="1:19" s="11" customFormat="1" ht="18" customHeight="1" x14ac:dyDescent="0.2">
      <c r="A35" s="12"/>
      <c r="B35" s="2560" t="s">
        <v>1510</v>
      </c>
      <c r="C35" s="2560"/>
      <c r="D35" s="2560" t="s">
        <v>1511</v>
      </c>
      <c r="E35" s="2560"/>
      <c r="F35" s="2560"/>
      <c r="G35" s="2560"/>
      <c r="H35" s="2560"/>
      <c r="I35" s="2560"/>
      <c r="J35" s="912"/>
      <c r="K35" s="912"/>
      <c r="L35" s="2560" t="s">
        <v>1532</v>
      </c>
      <c r="M35" s="2560"/>
      <c r="N35" s="13"/>
      <c r="O35" s="13"/>
      <c r="P35" s="13"/>
      <c r="Q35" s="13"/>
      <c r="R35" s="13"/>
      <c r="S35" s="13"/>
    </row>
    <row r="36" spans="1:19" s="11" customFormat="1" ht="51" customHeight="1" x14ac:dyDescent="0.2">
      <c r="A36" s="12"/>
      <c r="B36" s="2546"/>
      <c r="C36" s="2546"/>
      <c r="D36" s="2546" t="s">
        <v>1547</v>
      </c>
      <c r="E36" s="2546"/>
      <c r="F36" s="2546" t="s">
        <v>1546</v>
      </c>
      <c r="G36" s="2546"/>
      <c r="H36" s="2546" t="s">
        <v>1512</v>
      </c>
      <c r="I36" s="2546"/>
      <c r="J36" s="2561" t="s">
        <v>1513</v>
      </c>
      <c r="K36" s="2561"/>
      <c r="L36" s="2546"/>
      <c r="M36" s="2546"/>
      <c r="N36" s="13"/>
      <c r="O36" s="13"/>
      <c r="P36" s="13"/>
      <c r="Q36" s="13"/>
      <c r="R36" s="13"/>
      <c r="S36" s="13"/>
    </row>
    <row r="37" spans="1:19" s="11" customFormat="1" ht="18" customHeight="1" x14ac:dyDescent="0.2">
      <c r="A37" s="12"/>
      <c r="B37" s="1873" t="s">
        <v>1514</v>
      </c>
      <c r="C37" s="1873"/>
      <c r="D37" s="1873">
        <v>3</v>
      </c>
      <c r="E37" s="1873"/>
      <c r="F37" s="1873">
        <v>1.5</v>
      </c>
      <c r="G37" s="1873"/>
      <c r="H37" s="1873">
        <v>3</v>
      </c>
      <c r="I37" s="1873"/>
      <c r="J37" s="1873">
        <v>0.5</v>
      </c>
      <c r="K37" s="1873"/>
      <c r="L37" s="1873" t="s">
        <v>1515</v>
      </c>
      <c r="M37" s="1873"/>
      <c r="N37" s="13"/>
      <c r="O37" s="13"/>
      <c r="P37" s="13"/>
      <c r="Q37" s="13"/>
      <c r="R37" s="13"/>
      <c r="S37" s="13"/>
    </row>
    <row r="38" spans="1:19" s="11" customFormat="1" ht="18" customHeight="1" x14ac:dyDescent="0.2">
      <c r="A38" s="12"/>
      <c r="B38" s="1873" t="s">
        <v>1516</v>
      </c>
      <c r="C38" s="1873"/>
      <c r="D38" s="2556" t="s">
        <v>1538</v>
      </c>
      <c r="E38" s="2557"/>
      <c r="F38" s="2556" t="s">
        <v>1548</v>
      </c>
      <c r="G38" s="2557"/>
      <c r="H38" s="2556" t="s">
        <v>1538</v>
      </c>
      <c r="I38" s="2557"/>
      <c r="J38" s="2556" t="s">
        <v>1539</v>
      </c>
      <c r="K38" s="2557"/>
      <c r="L38" s="1873" t="s">
        <v>1515</v>
      </c>
      <c r="M38" s="1873"/>
      <c r="N38" s="13"/>
      <c r="O38" s="13"/>
      <c r="P38" s="13"/>
      <c r="Q38" s="13"/>
      <c r="R38" s="13"/>
      <c r="S38" s="13"/>
    </row>
    <row r="39" spans="1:19" s="11" customFormat="1" ht="18" customHeight="1" x14ac:dyDescent="0.2">
      <c r="A39" s="12"/>
      <c r="B39" s="1873"/>
      <c r="C39" s="1873"/>
      <c r="D39" s="2558"/>
      <c r="E39" s="2559"/>
      <c r="F39" s="2558"/>
      <c r="G39" s="2559"/>
      <c r="H39" s="2558"/>
      <c r="I39" s="2559"/>
      <c r="J39" s="2558"/>
      <c r="K39" s="2559"/>
      <c r="L39" s="1873"/>
      <c r="M39" s="1873"/>
      <c r="N39" s="13"/>
      <c r="O39" s="13"/>
      <c r="P39" s="13"/>
      <c r="Q39" s="13"/>
      <c r="R39" s="13"/>
      <c r="S39" s="13"/>
    </row>
    <row r="40" spans="1:19" s="11" customFormat="1" ht="18" customHeight="1" x14ac:dyDescent="0.2">
      <c r="A40" s="12"/>
      <c r="B40" s="1873" t="s">
        <v>1521</v>
      </c>
      <c r="C40" s="1873"/>
      <c r="D40" s="1873">
        <v>1</v>
      </c>
      <c r="E40" s="1873"/>
      <c r="F40" s="1873">
        <v>0.5</v>
      </c>
      <c r="G40" s="1873"/>
      <c r="H40" s="1873">
        <v>1</v>
      </c>
      <c r="I40" s="1873"/>
      <c r="J40" s="1873">
        <v>0.1</v>
      </c>
      <c r="K40" s="1873"/>
      <c r="L40" s="1873" t="s">
        <v>1515</v>
      </c>
      <c r="M40" s="1873"/>
      <c r="N40" s="13"/>
      <c r="O40" s="13"/>
      <c r="P40" s="13"/>
      <c r="Q40" s="13"/>
      <c r="R40" s="13"/>
      <c r="S40" s="13"/>
    </row>
    <row r="41" spans="1:19" s="11" customFormat="1" ht="18" customHeight="1" x14ac:dyDescent="0.2">
      <c r="A41" s="12"/>
      <c r="B41" s="1873" t="s">
        <v>1522</v>
      </c>
      <c r="C41" s="1873"/>
      <c r="D41" s="1873" t="s">
        <v>1540</v>
      </c>
      <c r="E41" s="1873"/>
      <c r="F41" s="1873" t="s">
        <v>1549</v>
      </c>
      <c r="G41" s="1873"/>
      <c r="H41" s="1873" t="s">
        <v>1540</v>
      </c>
      <c r="I41" s="1873"/>
      <c r="J41" s="1873" t="s">
        <v>1524</v>
      </c>
      <c r="K41" s="1873"/>
      <c r="L41" s="1873" t="s">
        <v>1515</v>
      </c>
      <c r="M41" s="1873"/>
      <c r="N41" s="13"/>
      <c r="O41" s="13"/>
      <c r="P41" s="13"/>
      <c r="Q41" s="13"/>
      <c r="R41" s="13"/>
      <c r="S41" s="13"/>
    </row>
    <row r="42" spans="1:19" s="11" customFormat="1" ht="18" customHeight="1" x14ac:dyDescent="0.2">
      <c r="A42" s="12"/>
      <c r="B42" s="1873" t="s">
        <v>1525</v>
      </c>
      <c r="C42" s="1873"/>
      <c r="D42" s="1873">
        <v>2</v>
      </c>
      <c r="E42" s="1873"/>
      <c r="F42" s="1873">
        <v>1</v>
      </c>
      <c r="G42" s="1873"/>
      <c r="H42" s="1873">
        <v>2</v>
      </c>
      <c r="I42" s="1873"/>
      <c r="J42" s="1873">
        <v>0.4</v>
      </c>
      <c r="K42" s="1873"/>
      <c r="L42" s="1873" t="s">
        <v>1515</v>
      </c>
      <c r="M42" s="1873"/>
      <c r="N42" s="13"/>
      <c r="O42" s="13"/>
      <c r="P42" s="13"/>
      <c r="Q42" s="13"/>
      <c r="R42" s="13"/>
      <c r="S42" s="13"/>
    </row>
    <row r="43" spans="1:19" s="11" customFormat="1" ht="25.5" customHeight="1" x14ac:dyDescent="0.2">
      <c r="A43" s="12"/>
      <c r="B43" s="1873" t="s">
        <v>1526</v>
      </c>
      <c r="C43" s="1873"/>
      <c r="D43" s="1873">
        <v>3</v>
      </c>
      <c r="E43" s="1873"/>
      <c r="F43" s="1873">
        <v>1.5</v>
      </c>
      <c r="G43" s="1873"/>
      <c r="H43" s="1873">
        <v>3</v>
      </c>
      <c r="I43" s="1873"/>
      <c r="J43" s="1873">
        <v>0.5</v>
      </c>
      <c r="K43" s="1873"/>
      <c r="L43" s="1873" t="s">
        <v>1527</v>
      </c>
      <c r="M43" s="1873"/>
      <c r="N43" s="13"/>
      <c r="O43" s="13"/>
      <c r="P43" s="13"/>
      <c r="Q43" s="13"/>
      <c r="R43" s="13"/>
      <c r="S43" s="13"/>
    </row>
    <row r="44" spans="1:19" s="11" customFormat="1" ht="18" customHeight="1" x14ac:dyDescent="0.2">
      <c r="A44" s="12"/>
      <c r="B44" s="1873" t="s">
        <v>1528</v>
      </c>
      <c r="C44" s="1873"/>
      <c r="D44" s="1873">
        <v>0</v>
      </c>
      <c r="E44" s="1873"/>
      <c r="F44" s="1873">
        <v>0</v>
      </c>
      <c r="G44" s="1873"/>
      <c r="H44" s="1873">
        <v>0.1</v>
      </c>
      <c r="I44" s="1873"/>
      <c r="J44" s="1873">
        <v>0</v>
      </c>
      <c r="K44" s="1873"/>
      <c r="L44" s="1873" t="s">
        <v>1529</v>
      </c>
      <c r="M44" s="1873"/>
      <c r="N44" s="13"/>
      <c r="O44" s="13"/>
      <c r="P44" s="13"/>
      <c r="Q44" s="13"/>
      <c r="R44" s="13"/>
      <c r="S44" s="13"/>
    </row>
    <row r="45" spans="1:19" s="11" customFormat="1" ht="18" customHeight="1" x14ac:dyDescent="0.2">
      <c r="A45" s="12"/>
      <c r="B45" s="1873" t="s">
        <v>1530</v>
      </c>
      <c r="C45" s="1873"/>
      <c r="D45" s="1873">
        <v>0</v>
      </c>
      <c r="E45" s="1873"/>
      <c r="F45" s="1873">
        <v>0</v>
      </c>
      <c r="G45" s="1873"/>
      <c r="H45" s="1873">
        <v>1</v>
      </c>
      <c r="I45" s="1873"/>
      <c r="J45" s="1873">
        <v>0</v>
      </c>
      <c r="K45" s="1873"/>
      <c r="L45" s="1873" t="s">
        <v>1531</v>
      </c>
      <c r="M45" s="1873"/>
      <c r="N45" s="13"/>
      <c r="O45" s="13"/>
      <c r="P45" s="13"/>
      <c r="Q45" s="13"/>
      <c r="R45" s="13"/>
      <c r="S45" s="13"/>
    </row>
    <row r="46" spans="1:19" s="11" customFormat="1" ht="18" customHeight="1" x14ac:dyDescent="0.2">
      <c r="A46" s="12"/>
      <c r="B46" s="913" t="s">
        <v>1533</v>
      </c>
      <c r="C46" s="13"/>
      <c r="D46" s="13"/>
      <c r="E46" s="13"/>
      <c r="F46" s="13"/>
      <c r="G46" s="13"/>
      <c r="H46" s="13"/>
      <c r="I46" s="13"/>
      <c r="J46" s="13"/>
      <c r="K46" s="13"/>
      <c r="L46" s="13"/>
      <c r="M46" s="13"/>
      <c r="N46" s="13"/>
      <c r="O46" s="13"/>
      <c r="P46" s="13"/>
      <c r="Q46" s="13"/>
    </row>
    <row r="47" spans="1:19" s="11" customFormat="1" ht="18" customHeight="1" x14ac:dyDescent="0.2">
      <c r="A47" s="12"/>
      <c r="B47" s="13"/>
      <c r="C47" s="13"/>
      <c r="D47" s="13"/>
      <c r="E47" s="13"/>
      <c r="F47" s="13"/>
      <c r="G47" s="13"/>
      <c r="H47" s="13"/>
      <c r="I47" s="13"/>
      <c r="J47" s="13"/>
      <c r="K47" s="13"/>
      <c r="L47" s="13"/>
      <c r="M47" s="13"/>
      <c r="N47" s="13"/>
      <c r="O47" s="13"/>
      <c r="P47" s="13"/>
      <c r="Q47" s="13"/>
    </row>
    <row r="48" spans="1:19" s="11" customFormat="1" ht="18" customHeight="1" x14ac:dyDescent="0.2">
      <c r="A48" s="12"/>
      <c r="B48" s="2562" t="s">
        <v>1551</v>
      </c>
      <c r="C48" s="2562"/>
      <c r="D48" s="2562"/>
      <c r="E48" s="2562"/>
      <c r="F48" s="2562"/>
      <c r="G48" s="2562"/>
      <c r="H48" s="2562"/>
      <c r="I48" s="2562"/>
      <c r="J48" s="2562"/>
      <c r="K48" s="2562"/>
      <c r="L48" s="13"/>
      <c r="M48" s="13"/>
      <c r="N48" s="13"/>
      <c r="O48" s="13"/>
      <c r="P48" s="13"/>
      <c r="Q48" s="13"/>
    </row>
    <row r="49" spans="1:17" s="11" customFormat="1" ht="18" customHeight="1" x14ac:dyDescent="0.2">
      <c r="A49" s="12"/>
      <c r="B49" s="2560" t="s">
        <v>1510</v>
      </c>
      <c r="C49" s="2560"/>
      <c r="D49" s="2560" t="s">
        <v>1511</v>
      </c>
      <c r="E49" s="2560"/>
      <c r="F49" s="2560"/>
      <c r="G49" s="2560"/>
      <c r="H49" s="2560"/>
      <c r="I49" s="2560"/>
      <c r="J49" s="2560" t="s">
        <v>1532</v>
      </c>
      <c r="K49" s="2560"/>
      <c r="L49" s="13"/>
      <c r="M49" s="13"/>
      <c r="N49" s="13"/>
      <c r="O49" s="13"/>
      <c r="P49" s="13"/>
      <c r="Q49" s="13"/>
    </row>
    <row r="50" spans="1:17" s="11" customFormat="1" ht="18" customHeight="1" x14ac:dyDescent="0.2">
      <c r="A50" s="12"/>
      <c r="B50" s="2546"/>
      <c r="C50" s="2546"/>
      <c r="D50" s="2546" t="s">
        <v>1552</v>
      </c>
      <c r="E50" s="2546"/>
      <c r="F50" s="2546" t="s">
        <v>1512</v>
      </c>
      <c r="G50" s="2546"/>
      <c r="H50" s="2561" t="s">
        <v>1513</v>
      </c>
      <c r="I50" s="2561"/>
      <c r="J50" s="2546"/>
      <c r="K50" s="2546"/>
      <c r="L50" s="13"/>
      <c r="M50" s="13"/>
      <c r="N50" s="13"/>
      <c r="O50" s="13"/>
      <c r="P50" s="13"/>
      <c r="Q50" s="13"/>
    </row>
    <row r="51" spans="1:17" s="11" customFormat="1" ht="18" customHeight="1" x14ac:dyDescent="0.2">
      <c r="A51" s="12"/>
      <c r="B51" s="1873" t="s">
        <v>1514</v>
      </c>
      <c r="C51" s="1873"/>
      <c r="D51" s="1873">
        <v>0.2</v>
      </c>
      <c r="E51" s="1873"/>
      <c r="F51" s="1873">
        <v>3</v>
      </c>
      <c r="G51" s="1873"/>
      <c r="H51" s="1873">
        <v>0.5</v>
      </c>
      <c r="I51" s="1873"/>
      <c r="J51" s="1873" t="s">
        <v>1515</v>
      </c>
      <c r="K51" s="1873"/>
      <c r="L51" s="13"/>
      <c r="M51" s="13"/>
      <c r="N51" s="13"/>
      <c r="O51" s="13"/>
      <c r="P51" s="13"/>
      <c r="Q51" s="13"/>
    </row>
    <row r="52" spans="1:17" s="11" customFormat="1" ht="18" customHeight="1" x14ac:dyDescent="0.2">
      <c r="A52" s="12"/>
      <c r="B52" s="1873" t="s">
        <v>1516</v>
      </c>
      <c r="C52" s="1873"/>
      <c r="D52" s="2556" t="s">
        <v>1553</v>
      </c>
      <c r="E52" s="2557"/>
      <c r="F52" s="2556" t="s">
        <v>1538</v>
      </c>
      <c r="G52" s="2557"/>
      <c r="H52" s="2556" t="s">
        <v>1539</v>
      </c>
      <c r="I52" s="2557"/>
      <c r="J52" s="1873" t="s">
        <v>1515</v>
      </c>
      <c r="K52" s="1873"/>
      <c r="L52" s="13"/>
      <c r="M52" s="13"/>
      <c r="N52" s="13"/>
      <c r="O52" s="13"/>
      <c r="P52" s="13"/>
      <c r="Q52" s="13"/>
    </row>
    <row r="53" spans="1:17" s="11" customFormat="1" ht="18" customHeight="1" x14ac:dyDescent="0.2">
      <c r="A53" s="12"/>
      <c r="B53" s="1873"/>
      <c r="C53" s="1873"/>
      <c r="D53" s="2558"/>
      <c r="E53" s="2559"/>
      <c r="F53" s="2558"/>
      <c r="G53" s="2559"/>
      <c r="H53" s="2558"/>
      <c r="I53" s="2559"/>
      <c r="J53" s="1873"/>
      <c r="K53" s="1873"/>
      <c r="L53" s="13"/>
      <c r="M53" s="13"/>
      <c r="N53" s="13"/>
      <c r="O53" s="13"/>
      <c r="P53" s="13"/>
      <c r="Q53" s="13"/>
    </row>
    <row r="54" spans="1:17" s="11" customFormat="1" ht="18" customHeight="1" x14ac:dyDescent="0.2">
      <c r="A54" s="12"/>
      <c r="B54" s="1873" t="s">
        <v>1521</v>
      </c>
      <c r="C54" s="1873"/>
      <c r="D54" s="1873">
        <v>0.1</v>
      </c>
      <c r="E54" s="1873"/>
      <c r="F54" s="1873">
        <v>1</v>
      </c>
      <c r="G54" s="1873"/>
      <c r="H54" s="1873">
        <v>0.1</v>
      </c>
      <c r="I54" s="1873"/>
      <c r="J54" s="1873" t="s">
        <v>1515</v>
      </c>
      <c r="K54" s="1873"/>
      <c r="L54" s="13"/>
      <c r="M54" s="13"/>
      <c r="N54" s="13"/>
      <c r="O54" s="13"/>
      <c r="P54" s="13"/>
      <c r="Q54" s="13"/>
    </row>
    <row r="55" spans="1:17" s="11" customFormat="1" ht="18" customHeight="1" x14ac:dyDescent="0.2">
      <c r="A55" s="12"/>
      <c r="B55" s="1873" t="s">
        <v>1522</v>
      </c>
      <c r="C55" s="1873"/>
      <c r="D55" s="1873" t="s">
        <v>1524</v>
      </c>
      <c r="E55" s="1873"/>
      <c r="F55" s="1873" t="s">
        <v>1540</v>
      </c>
      <c r="G55" s="1873"/>
      <c r="H55" s="1873" t="s">
        <v>1524</v>
      </c>
      <c r="I55" s="1873"/>
      <c r="J55" s="1873" t="s">
        <v>1515</v>
      </c>
      <c r="K55" s="1873"/>
      <c r="L55" s="13"/>
      <c r="M55" s="13"/>
      <c r="N55" s="13"/>
      <c r="O55" s="13"/>
      <c r="P55" s="13"/>
      <c r="Q55" s="13"/>
    </row>
    <row r="56" spans="1:17" s="11" customFormat="1" ht="18" customHeight="1" x14ac:dyDescent="0.2">
      <c r="A56" s="12"/>
      <c r="B56" s="1873" t="s">
        <v>1525</v>
      </c>
      <c r="C56" s="1873"/>
      <c r="D56" s="1873">
        <v>0.1</v>
      </c>
      <c r="E56" s="1873"/>
      <c r="F56" s="1873">
        <v>2</v>
      </c>
      <c r="G56" s="1873"/>
      <c r="H56" s="1873">
        <v>0.4</v>
      </c>
      <c r="I56" s="1873"/>
      <c r="J56" s="1873" t="s">
        <v>1515</v>
      </c>
      <c r="K56" s="1873"/>
      <c r="L56" s="13"/>
      <c r="M56" s="13"/>
      <c r="N56" s="13"/>
      <c r="O56" s="13"/>
      <c r="P56" s="13"/>
      <c r="Q56" s="13"/>
    </row>
    <row r="57" spans="1:17" s="11" customFormat="1" ht="24" customHeight="1" x14ac:dyDescent="0.2">
      <c r="A57" s="12"/>
      <c r="B57" s="1873" t="s">
        <v>1526</v>
      </c>
      <c r="C57" s="1873"/>
      <c r="D57" s="1873">
        <v>0.2</v>
      </c>
      <c r="E57" s="1873"/>
      <c r="F57" s="1873">
        <v>3</v>
      </c>
      <c r="G57" s="1873"/>
      <c r="H57" s="1873">
        <v>0.5</v>
      </c>
      <c r="I57" s="1873"/>
      <c r="J57" s="1873" t="s">
        <v>1527</v>
      </c>
      <c r="K57" s="1873"/>
      <c r="L57" s="13"/>
      <c r="M57" s="13"/>
      <c r="N57" s="13"/>
      <c r="O57" s="13"/>
      <c r="P57" s="13"/>
      <c r="Q57" s="13"/>
    </row>
    <row r="58" spans="1:17" s="11" customFormat="1" ht="18" customHeight="1" x14ac:dyDescent="0.2">
      <c r="A58" s="12"/>
      <c r="B58" s="1873" t="s">
        <v>1528</v>
      </c>
      <c r="C58" s="1873"/>
      <c r="D58" s="1873">
        <v>0</v>
      </c>
      <c r="E58" s="1873"/>
      <c r="F58" s="1873">
        <v>0.1</v>
      </c>
      <c r="G58" s="1873"/>
      <c r="H58" s="1873">
        <v>0</v>
      </c>
      <c r="I58" s="1873"/>
      <c r="J58" s="1873" t="s">
        <v>1529</v>
      </c>
      <c r="K58" s="1873"/>
      <c r="L58" s="13"/>
      <c r="M58" s="13"/>
      <c r="N58" s="13"/>
      <c r="O58" s="13"/>
      <c r="P58" s="13"/>
      <c r="Q58" s="13"/>
    </row>
    <row r="59" spans="1:17" s="11" customFormat="1" ht="18" customHeight="1" x14ac:dyDescent="0.2">
      <c r="A59" s="12"/>
      <c r="B59" s="1873" t="s">
        <v>1530</v>
      </c>
      <c r="C59" s="1873"/>
      <c r="D59" s="1873">
        <v>0</v>
      </c>
      <c r="E59" s="1873"/>
      <c r="F59" s="1873">
        <v>1</v>
      </c>
      <c r="G59" s="1873"/>
      <c r="H59" s="1873">
        <v>0</v>
      </c>
      <c r="I59" s="1873"/>
      <c r="J59" s="1873" t="s">
        <v>1531</v>
      </c>
      <c r="K59" s="1873"/>
      <c r="L59" s="13"/>
      <c r="M59" s="13"/>
      <c r="N59" s="13"/>
      <c r="O59" s="13"/>
      <c r="P59" s="13"/>
      <c r="Q59" s="13"/>
    </row>
    <row r="60" spans="1:17" s="11" customFormat="1" ht="18" customHeight="1" x14ac:dyDescent="0.2">
      <c r="A60" s="12"/>
      <c r="B60" s="913" t="s">
        <v>1533</v>
      </c>
      <c r="C60" s="13"/>
      <c r="D60" s="13"/>
      <c r="E60" s="13"/>
      <c r="F60" s="13"/>
      <c r="G60" s="13"/>
      <c r="H60" s="13"/>
      <c r="I60" s="13"/>
      <c r="J60" s="13"/>
      <c r="K60" s="13"/>
      <c r="L60" s="13"/>
      <c r="M60" s="13"/>
      <c r="N60" s="13"/>
      <c r="O60" s="13"/>
      <c r="P60" s="13"/>
      <c r="Q60" s="13"/>
    </row>
    <row r="61" spans="1:17" s="11" customFormat="1" ht="18" customHeight="1" x14ac:dyDescent="0.2">
      <c r="A61" s="12"/>
      <c r="B61" s="13"/>
      <c r="C61" s="13"/>
      <c r="D61" s="13"/>
      <c r="E61" s="13"/>
      <c r="F61" s="13"/>
      <c r="G61" s="13"/>
      <c r="H61" s="13"/>
      <c r="I61" s="13"/>
      <c r="J61" s="13"/>
      <c r="K61" s="13"/>
      <c r="L61" s="13"/>
      <c r="M61" s="13"/>
      <c r="N61" s="13"/>
      <c r="O61" s="13"/>
      <c r="P61" s="13"/>
      <c r="Q61" s="13"/>
    </row>
    <row r="62" spans="1:17" s="11" customFormat="1" ht="18" customHeight="1" x14ac:dyDescent="0.2">
      <c r="A62" s="12"/>
      <c r="B62" s="2544" t="s">
        <v>1566</v>
      </c>
      <c r="C62" s="2544"/>
      <c r="D62" s="2544"/>
      <c r="E62" s="2544"/>
      <c r="F62" s="13"/>
      <c r="G62" s="13"/>
      <c r="H62" s="13"/>
      <c r="I62" s="13"/>
      <c r="J62" s="13"/>
      <c r="K62" s="13"/>
      <c r="L62" s="13"/>
      <c r="M62" s="13"/>
      <c r="N62" s="13"/>
      <c r="O62" s="13"/>
      <c r="P62" s="13"/>
      <c r="Q62" s="13"/>
    </row>
    <row r="63" spans="1:17" s="11" customFormat="1" ht="18" customHeight="1" x14ac:dyDescent="0.2">
      <c r="A63" s="12"/>
      <c r="B63" s="2545" t="s">
        <v>1510</v>
      </c>
      <c r="C63" s="2546"/>
      <c r="D63" s="2546" t="s">
        <v>1554</v>
      </c>
      <c r="E63" s="2546"/>
      <c r="F63" s="13"/>
      <c r="G63" s="13"/>
      <c r="H63" s="13"/>
      <c r="I63" s="13"/>
      <c r="J63" s="13"/>
      <c r="K63" s="13"/>
      <c r="L63" s="13"/>
      <c r="M63" s="13"/>
      <c r="N63" s="13"/>
      <c r="O63" s="13"/>
      <c r="P63" s="13"/>
      <c r="Q63" s="13"/>
    </row>
    <row r="64" spans="1:17" s="11" customFormat="1" ht="18" customHeight="1" x14ac:dyDescent="0.2">
      <c r="A64" s="12"/>
      <c r="B64" s="1873" t="s">
        <v>1555</v>
      </c>
      <c r="C64" s="1873"/>
      <c r="D64" s="1873" t="s">
        <v>1556</v>
      </c>
      <c r="E64" s="1873"/>
      <c r="F64" s="13"/>
      <c r="G64" s="13"/>
      <c r="H64" s="13"/>
      <c r="I64" s="13"/>
      <c r="J64" s="13"/>
      <c r="K64" s="13"/>
      <c r="L64" s="13"/>
      <c r="M64" s="13"/>
      <c r="N64" s="13"/>
      <c r="O64" s="13"/>
      <c r="P64" s="13"/>
      <c r="Q64" s="13"/>
    </row>
    <row r="65" spans="1:17" s="11" customFormat="1" ht="18" customHeight="1" x14ac:dyDescent="0.2">
      <c r="A65" s="12"/>
      <c r="B65" s="1873" t="s">
        <v>1557</v>
      </c>
      <c r="C65" s="1873"/>
      <c r="D65" s="1873" t="s">
        <v>1558</v>
      </c>
      <c r="E65" s="1873"/>
      <c r="F65" s="13"/>
      <c r="G65" s="13"/>
      <c r="H65" s="13"/>
      <c r="I65" s="13"/>
      <c r="J65" s="13"/>
      <c r="K65" s="13"/>
      <c r="L65" s="13"/>
      <c r="M65" s="13"/>
      <c r="N65" s="13"/>
      <c r="O65" s="13"/>
      <c r="P65" s="13"/>
      <c r="Q65" s="13"/>
    </row>
    <row r="66" spans="1:17" s="11" customFormat="1" ht="18" customHeight="1" x14ac:dyDescent="0.2">
      <c r="A66" s="12"/>
      <c r="B66" s="1873" t="s">
        <v>1559</v>
      </c>
      <c r="C66" s="1873"/>
      <c r="D66" s="1873" t="s">
        <v>1560</v>
      </c>
      <c r="E66" s="1873"/>
      <c r="F66" s="13"/>
      <c r="G66" s="13"/>
      <c r="H66" s="13"/>
      <c r="I66" s="13"/>
      <c r="J66" s="13"/>
      <c r="K66" s="13"/>
      <c r="L66" s="13"/>
      <c r="M66" s="13"/>
      <c r="N66" s="13"/>
      <c r="O66" s="13"/>
      <c r="P66" s="13"/>
      <c r="Q66" s="13"/>
    </row>
    <row r="67" spans="1:17" s="11" customFormat="1" ht="18" customHeight="1" x14ac:dyDescent="0.2">
      <c r="A67" s="12"/>
      <c r="B67" s="1873" t="s">
        <v>1561</v>
      </c>
      <c r="C67" s="1873"/>
      <c r="D67" s="1873" t="s">
        <v>1562</v>
      </c>
      <c r="E67" s="1873"/>
      <c r="F67" s="13"/>
      <c r="G67" s="13"/>
      <c r="H67" s="13"/>
      <c r="I67" s="13"/>
      <c r="J67" s="13"/>
      <c r="K67" s="13"/>
      <c r="L67" s="13"/>
      <c r="M67" s="13"/>
      <c r="N67" s="13"/>
      <c r="O67" s="13"/>
      <c r="P67" s="13"/>
      <c r="Q67" s="13"/>
    </row>
    <row r="68" spans="1:17" s="11" customFormat="1" ht="18" customHeight="1" x14ac:dyDescent="0.2">
      <c r="A68" s="12"/>
      <c r="B68" s="1873" t="s">
        <v>1563</v>
      </c>
      <c r="C68" s="1873"/>
      <c r="D68" s="1873" t="s">
        <v>1560</v>
      </c>
      <c r="E68" s="1873"/>
      <c r="F68" s="13"/>
      <c r="G68" s="13"/>
      <c r="H68" s="13"/>
      <c r="I68" s="13"/>
      <c r="J68" s="13"/>
      <c r="K68" s="13"/>
      <c r="L68" s="13"/>
      <c r="M68" s="13"/>
      <c r="N68" s="13"/>
      <c r="O68" s="13"/>
      <c r="P68" s="13"/>
      <c r="Q68" s="13"/>
    </row>
    <row r="69" spans="1:17" s="11" customFormat="1" ht="18" customHeight="1" x14ac:dyDescent="0.2">
      <c r="A69" s="12"/>
      <c r="B69" s="1873" t="s">
        <v>1543</v>
      </c>
      <c r="C69" s="1873"/>
      <c r="D69" s="1873" t="s">
        <v>1564</v>
      </c>
      <c r="E69" s="1873"/>
      <c r="F69" s="13"/>
      <c r="G69" s="13"/>
      <c r="H69" s="13"/>
      <c r="I69" s="13"/>
      <c r="J69" s="13"/>
      <c r="K69" s="13"/>
      <c r="L69" s="13"/>
      <c r="M69" s="13"/>
      <c r="N69" s="13"/>
      <c r="O69" s="13"/>
      <c r="P69" s="13"/>
      <c r="Q69" s="13"/>
    </row>
    <row r="70" spans="1:17" s="11" customFormat="1" ht="18" customHeight="1" x14ac:dyDescent="0.2">
      <c r="A70" s="12"/>
      <c r="B70" s="914" t="s">
        <v>1565</v>
      </c>
      <c r="C70" s="914"/>
      <c r="D70" s="914"/>
      <c r="E70" s="13"/>
      <c r="F70" s="13"/>
      <c r="G70" s="13"/>
      <c r="H70" s="13"/>
      <c r="I70" s="13"/>
      <c r="J70" s="13"/>
      <c r="K70" s="13"/>
      <c r="L70" s="13"/>
      <c r="M70" s="13"/>
      <c r="N70" s="13"/>
      <c r="O70" s="13"/>
      <c r="P70" s="13"/>
      <c r="Q70" s="13"/>
    </row>
    <row r="71" spans="1:17" s="11" customFormat="1" ht="12" customHeight="1" x14ac:dyDescent="0.2">
      <c r="A71" s="12"/>
      <c r="B71" s="13"/>
      <c r="C71" s="13"/>
      <c r="D71" s="13"/>
      <c r="E71" s="13"/>
      <c r="F71" s="13"/>
      <c r="G71" s="13"/>
      <c r="H71" s="13"/>
      <c r="I71" s="13"/>
      <c r="J71" s="13"/>
      <c r="K71" s="13"/>
      <c r="L71" s="13"/>
      <c r="M71" s="13"/>
      <c r="N71" s="13"/>
      <c r="O71" s="13"/>
      <c r="P71" s="13"/>
      <c r="Q71" s="13"/>
    </row>
    <row r="72" spans="1:17" s="11" customFormat="1" ht="12" customHeight="1" x14ac:dyDescent="0.2">
      <c r="A72" s="224"/>
      <c r="B72" s="224"/>
      <c r="C72" s="224"/>
      <c r="D72" s="224"/>
      <c r="E72" s="224"/>
      <c r="F72" s="224"/>
      <c r="G72" s="224"/>
      <c r="H72" s="224"/>
      <c r="I72" s="224"/>
      <c r="J72" s="224"/>
      <c r="K72" s="224"/>
      <c r="L72" s="224"/>
      <c r="M72" s="224"/>
      <c r="N72" s="224"/>
      <c r="O72" s="224"/>
      <c r="P72" s="224"/>
      <c r="Q72" s="224"/>
    </row>
    <row r="73" spans="1:17" s="11" customFormat="1" ht="24" customHeight="1" x14ac:dyDescent="0.2">
      <c r="A73" s="2563" t="s">
        <v>552</v>
      </c>
      <c r="B73" s="2563"/>
      <c r="C73" s="2563"/>
      <c r="D73" s="2563"/>
      <c r="E73" s="2563"/>
      <c r="F73" s="2563"/>
      <c r="G73" s="12"/>
      <c r="H73" s="12"/>
      <c r="I73" s="12"/>
      <c r="J73" s="12"/>
      <c r="K73" s="12"/>
      <c r="L73" s="12"/>
      <c r="M73" s="12"/>
      <c r="N73" s="12"/>
      <c r="O73" s="12"/>
      <c r="P73" s="12"/>
      <c r="Q73" s="12"/>
    </row>
    <row r="74" spans="1:17" s="11" customFormat="1" ht="15" customHeight="1" x14ac:dyDescent="0.2">
      <c r="A74" s="12"/>
      <c r="B74" s="12"/>
      <c r="C74" s="12"/>
      <c r="D74" s="12"/>
      <c r="E74" s="12"/>
      <c r="F74" s="12"/>
      <c r="G74" s="12"/>
      <c r="H74" s="12"/>
      <c r="I74" s="12"/>
      <c r="J74" s="12"/>
      <c r="K74" s="12"/>
      <c r="L74" s="12"/>
      <c r="M74" s="12"/>
      <c r="N74" s="12"/>
      <c r="O74" s="12"/>
      <c r="P74" s="12"/>
      <c r="Q74" s="12"/>
    </row>
    <row r="75" spans="1:17" s="11" customFormat="1" ht="27" customHeight="1" x14ac:dyDescent="0.2">
      <c r="A75" s="2547" t="s">
        <v>553</v>
      </c>
      <c r="B75" s="2547"/>
      <c r="C75" s="2547"/>
      <c r="D75" s="2547"/>
      <c r="E75" s="2547"/>
      <c r="F75" s="2547"/>
      <c r="G75" s="12"/>
      <c r="H75" s="2547" t="s">
        <v>554</v>
      </c>
      <c r="I75" s="2547"/>
      <c r="J75" s="2547"/>
      <c r="K75" s="2547"/>
      <c r="L75" s="2547"/>
      <c r="M75" s="2547"/>
      <c r="N75" s="12"/>
      <c r="O75" s="12"/>
      <c r="P75" s="12"/>
      <c r="Q75" s="12"/>
    </row>
    <row r="76" spans="1:17" s="11" customFormat="1" ht="15.75" customHeight="1" x14ac:dyDescent="0.2">
      <c r="A76" s="2547"/>
      <c r="B76" s="2547"/>
      <c r="C76" s="2547"/>
      <c r="D76" s="2547"/>
      <c r="E76" s="2547"/>
      <c r="F76" s="2547"/>
      <c r="G76" s="12"/>
      <c r="H76" s="2547"/>
      <c r="I76" s="2547"/>
      <c r="J76" s="2547"/>
      <c r="K76" s="2547"/>
      <c r="L76" s="2547"/>
      <c r="M76" s="2547"/>
      <c r="N76" s="12"/>
      <c r="O76" s="12"/>
      <c r="P76" s="12"/>
      <c r="Q76" s="12"/>
    </row>
    <row r="77" spans="1:17" s="11" customFormat="1" ht="15" customHeight="1" x14ac:dyDescent="0.2">
      <c r="A77" s="12"/>
      <c r="B77" s="12"/>
      <c r="C77" s="12"/>
      <c r="D77" s="12"/>
      <c r="E77" s="12"/>
      <c r="F77" s="12"/>
      <c r="G77" s="12"/>
      <c r="H77" s="12"/>
      <c r="I77" s="12"/>
      <c r="J77" s="12"/>
      <c r="K77" s="12"/>
      <c r="L77" s="12"/>
      <c r="M77" s="12"/>
      <c r="N77" s="12"/>
      <c r="O77" s="12"/>
      <c r="P77" s="12"/>
      <c r="Q77" s="12"/>
    </row>
    <row r="78" spans="1:17" s="11" customFormat="1" ht="23.25" customHeight="1" x14ac:dyDescent="0.2">
      <c r="A78" s="12"/>
      <c r="B78" s="12"/>
      <c r="C78" s="12"/>
      <c r="D78" s="12"/>
      <c r="E78" s="12"/>
      <c r="F78" s="12"/>
      <c r="G78" s="12"/>
      <c r="H78" s="12"/>
      <c r="I78" s="12"/>
      <c r="J78" s="12"/>
      <c r="K78" s="12"/>
      <c r="L78" s="12"/>
      <c r="M78" s="12"/>
      <c r="N78" s="12"/>
      <c r="O78" s="12"/>
      <c r="P78" s="12"/>
      <c r="Q78" s="12"/>
    </row>
    <row r="79" spans="1:17" s="11" customFormat="1" ht="23.25" customHeight="1" x14ac:dyDescent="0.2">
      <c r="A79" s="12"/>
      <c r="B79" s="12"/>
      <c r="C79" s="12"/>
      <c r="D79" s="12"/>
      <c r="E79" s="12"/>
      <c r="F79" s="12"/>
      <c r="G79" s="12"/>
      <c r="H79" s="12"/>
      <c r="I79" s="12"/>
      <c r="J79" s="12"/>
      <c r="K79" s="12"/>
      <c r="L79" s="12"/>
      <c r="M79" s="12"/>
      <c r="N79" s="12"/>
      <c r="O79" s="12"/>
      <c r="P79" s="12"/>
      <c r="Q79" s="12"/>
    </row>
    <row r="80" spans="1:17" s="11" customFormat="1" ht="23.25" customHeight="1" x14ac:dyDescent="0.2">
      <c r="A80" s="12"/>
      <c r="B80" s="12"/>
      <c r="C80" s="12"/>
      <c r="D80" s="12"/>
      <c r="E80" s="12"/>
      <c r="F80" s="12"/>
      <c r="G80" s="12"/>
      <c r="H80" s="12"/>
      <c r="I80" s="12"/>
      <c r="J80" s="12"/>
      <c r="K80" s="12"/>
      <c r="L80" s="12"/>
      <c r="M80" s="12"/>
      <c r="N80" s="12"/>
      <c r="O80" s="12"/>
      <c r="P80" s="12"/>
      <c r="Q80" s="12"/>
    </row>
    <row r="81" spans="1:17" s="11" customFormat="1" ht="15" customHeight="1" x14ac:dyDescent="0.2">
      <c r="A81" s="12"/>
      <c r="B81" s="12"/>
      <c r="C81" s="12"/>
      <c r="D81" s="12"/>
      <c r="E81" s="12"/>
      <c r="F81" s="12"/>
      <c r="G81" s="12"/>
      <c r="H81" s="12"/>
      <c r="I81" s="12"/>
      <c r="J81" s="12"/>
      <c r="K81" s="12"/>
      <c r="L81" s="12"/>
      <c r="M81" s="12"/>
      <c r="N81" s="12"/>
      <c r="O81" s="12"/>
      <c r="P81" s="12"/>
      <c r="Q81" s="12"/>
    </row>
    <row r="82" spans="1:17" s="11" customFormat="1" ht="15" customHeight="1" x14ac:dyDescent="0.2">
      <c r="A82" s="12"/>
      <c r="B82" s="12"/>
      <c r="C82" s="12"/>
      <c r="D82" s="12"/>
      <c r="E82" s="12"/>
      <c r="F82" s="12"/>
      <c r="G82" s="12"/>
      <c r="H82" s="12"/>
      <c r="I82" s="12"/>
      <c r="J82" s="12"/>
      <c r="K82" s="12"/>
      <c r="L82" s="12"/>
      <c r="M82" s="12"/>
      <c r="N82" s="12"/>
      <c r="O82" s="12"/>
      <c r="P82" s="12"/>
      <c r="Q82" s="12"/>
    </row>
    <row r="83" spans="1:17" s="11" customFormat="1" ht="15" customHeight="1" x14ac:dyDescent="0.2">
      <c r="A83" s="12"/>
      <c r="B83" s="12"/>
      <c r="C83" s="12"/>
      <c r="D83" s="12"/>
      <c r="E83" s="12"/>
      <c r="F83" s="12"/>
      <c r="G83" s="12"/>
      <c r="H83" s="12"/>
      <c r="I83" s="12"/>
      <c r="J83" s="12"/>
      <c r="K83" s="12"/>
      <c r="L83" s="12"/>
      <c r="M83" s="12"/>
      <c r="N83" s="12"/>
      <c r="O83" s="12"/>
      <c r="P83" s="12"/>
      <c r="Q83" s="12"/>
    </row>
    <row r="84" spans="1:17" s="11" customFormat="1" ht="15" customHeight="1" x14ac:dyDescent="0.2">
      <c r="A84" s="12"/>
      <c r="B84" s="12"/>
      <c r="C84" s="12"/>
      <c r="D84" s="12"/>
      <c r="E84" s="12"/>
      <c r="F84" s="12"/>
      <c r="G84" s="12"/>
      <c r="H84" s="12"/>
      <c r="I84" s="12"/>
      <c r="J84" s="12"/>
      <c r="K84" s="12"/>
      <c r="L84" s="12"/>
      <c r="M84" s="12"/>
      <c r="N84" s="12"/>
      <c r="O84" s="12"/>
      <c r="P84" s="12"/>
      <c r="Q84" s="12"/>
    </row>
    <row r="85" spans="1:17" s="11" customFormat="1" ht="15" customHeight="1" x14ac:dyDescent="0.2">
      <c r="A85" s="12"/>
      <c r="B85" s="12"/>
      <c r="C85" s="12"/>
      <c r="D85" s="12"/>
      <c r="E85" s="12"/>
      <c r="F85" s="12"/>
      <c r="G85" s="12"/>
      <c r="H85" s="12"/>
      <c r="I85" s="12"/>
      <c r="J85" s="12"/>
      <c r="K85" s="12"/>
      <c r="L85" s="12"/>
      <c r="M85" s="12"/>
      <c r="N85" s="12"/>
      <c r="O85" s="12"/>
      <c r="P85" s="12"/>
      <c r="Q85" s="12"/>
    </row>
    <row r="86" spans="1:17" s="11" customFormat="1" ht="15" customHeight="1" x14ac:dyDescent="0.2">
      <c r="A86" s="12"/>
      <c r="B86" s="12"/>
      <c r="C86" s="12"/>
      <c r="D86" s="12"/>
      <c r="E86" s="12"/>
      <c r="F86" s="12"/>
      <c r="G86" s="12"/>
      <c r="H86" s="12"/>
      <c r="I86" s="12"/>
      <c r="J86" s="12"/>
      <c r="K86" s="12"/>
      <c r="L86" s="12"/>
      <c r="M86" s="12"/>
      <c r="N86" s="12"/>
      <c r="O86" s="12"/>
      <c r="P86" s="12"/>
      <c r="Q86" s="12"/>
    </row>
    <row r="87" spans="1:17" s="11" customFormat="1" ht="15" customHeight="1" x14ac:dyDescent="0.2">
      <c r="A87" s="224"/>
      <c r="B87" s="224"/>
      <c r="C87" s="224"/>
      <c r="D87" s="224"/>
      <c r="E87" s="224"/>
      <c r="F87" s="224"/>
      <c r="G87" s="224"/>
      <c r="H87" s="224"/>
      <c r="I87" s="224"/>
      <c r="J87" s="224"/>
      <c r="K87" s="224"/>
      <c r="L87" s="224"/>
      <c r="M87" s="224"/>
      <c r="N87" s="224"/>
      <c r="O87" s="224"/>
      <c r="P87" s="224"/>
      <c r="Q87" s="224"/>
    </row>
    <row r="88" spans="1:17" s="11" customFormat="1" ht="21.75" customHeight="1" x14ac:dyDescent="0.2">
      <c r="A88" s="2551" t="s">
        <v>500</v>
      </c>
      <c r="B88" s="2551"/>
      <c r="C88" s="2551"/>
      <c r="D88" s="2551"/>
      <c r="E88" s="2551"/>
      <c r="F88" s="2551"/>
      <c r="G88" s="13"/>
      <c r="H88" s="13"/>
      <c r="I88" s="13"/>
      <c r="J88" s="13"/>
      <c r="K88" s="13"/>
      <c r="L88" s="13"/>
      <c r="M88" s="13"/>
      <c r="N88" s="13"/>
      <c r="O88" s="13"/>
      <c r="P88" s="13"/>
      <c r="Q88" s="13"/>
    </row>
    <row r="89" spans="1:17" s="11" customFormat="1" ht="15" customHeight="1" x14ac:dyDescent="0.2">
      <c r="A89" s="12"/>
      <c r="B89" s="12"/>
      <c r="C89" s="12"/>
      <c r="D89" s="12"/>
      <c r="E89" s="12"/>
      <c r="F89" s="12"/>
      <c r="G89" s="13"/>
      <c r="H89" s="13"/>
      <c r="I89" s="13"/>
      <c r="J89" s="13"/>
      <c r="K89" s="13"/>
      <c r="L89" s="13"/>
      <c r="M89" s="13"/>
      <c r="N89" s="13"/>
      <c r="O89" s="13"/>
      <c r="P89" s="13"/>
      <c r="Q89" s="13"/>
    </row>
    <row r="90" spans="1:17" s="11" customFormat="1" ht="18" customHeight="1" x14ac:dyDescent="0.2">
      <c r="A90" s="12"/>
      <c r="B90" s="2553" t="s">
        <v>214</v>
      </c>
      <c r="C90" s="2553"/>
      <c r="D90" s="2553"/>
      <c r="E90" s="2553"/>
      <c r="F90" s="12"/>
      <c r="G90" s="13"/>
      <c r="H90" s="2564" t="s">
        <v>208</v>
      </c>
      <c r="I90" s="2564"/>
      <c r="J90" s="2564"/>
      <c r="K90" s="2564"/>
      <c r="L90" s="2564"/>
      <c r="M90" s="2564"/>
      <c r="N90" s="2564"/>
      <c r="O90" s="2564"/>
      <c r="P90" s="2564"/>
      <c r="Q90" s="13"/>
    </row>
    <row r="91" spans="1:17" s="11" customFormat="1" ht="15" customHeight="1" x14ac:dyDescent="0.2">
      <c r="A91" s="12"/>
      <c r="B91" s="2555" t="s">
        <v>99</v>
      </c>
      <c r="C91" s="2555" t="s">
        <v>199</v>
      </c>
      <c r="D91" s="2555" t="s">
        <v>200</v>
      </c>
      <c r="E91" s="2555"/>
      <c r="F91" s="12"/>
      <c r="G91" s="13"/>
      <c r="H91" s="13"/>
      <c r="I91" s="13"/>
      <c r="J91" s="13"/>
      <c r="K91" s="13"/>
      <c r="L91" s="13"/>
      <c r="M91" s="13"/>
      <c r="N91" s="13"/>
      <c r="O91" s="13"/>
      <c r="P91" s="13"/>
      <c r="Q91" s="13"/>
    </row>
    <row r="92" spans="1:17" s="11" customFormat="1" ht="15" customHeight="1" x14ac:dyDescent="0.2">
      <c r="A92" s="12"/>
      <c r="B92" s="2555"/>
      <c r="C92" s="2555"/>
      <c r="D92" s="225" t="s">
        <v>201</v>
      </c>
      <c r="E92" s="225" t="s">
        <v>202</v>
      </c>
      <c r="F92" s="12"/>
      <c r="G92" s="13"/>
      <c r="H92" s="13"/>
      <c r="I92" s="13"/>
      <c r="J92" s="13"/>
      <c r="K92" s="13"/>
      <c r="L92" s="13"/>
      <c r="M92" s="13"/>
      <c r="N92" s="13"/>
      <c r="O92" s="13"/>
      <c r="P92" s="13"/>
      <c r="Q92" s="13"/>
    </row>
    <row r="93" spans="1:17" s="11" customFormat="1" ht="15" customHeight="1" x14ac:dyDescent="0.2">
      <c r="A93" s="12"/>
      <c r="B93" s="2552" t="s">
        <v>203</v>
      </c>
      <c r="C93" s="226" t="s">
        <v>204</v>
      </c>
      <c r="D93" s="226">
        <v>0.9</v>
      </c>
      <c r="E93" s="226">
        <v>0.8</v>
      </c>
      <c r="F93" s="12"/>
      <c r="G93" s="13"/>
      <c r="H93" s="13"/>
      <c r="I93" s="13"/>
      <c r="J93" s="13"/>
      <c r="K93" s="13"/>
      <c r="L93" s="13"/>
      <c r="M93" s="13"/>
      <c r="N93" s="13"/>
      <c r="O93" s="13"/>
      <c r="P93" s="13"/>
      <c r="Q93" s="13"/>
    </row>
    <row r="94" spans="1:17" s="11" customFormat="1" ht="15" customHeight="1" x14ac:dyDescent="0.2">
      <c r="A94" s="12"/>
      <c r="B94" s="2552"/>
      <c r="C94" s="226" t="s">
        <v>205</v>
      </c>
      <c r="D94" s="226">
        <v>0.8</v>
      </c>
      <c r="E94" s="226">
        <v>0.7</v>
      </c>
      <c r="F94" s="12"/>
      <c r="G94" s="13"/>
      <c r="H94" s="13"/>
      <c r="I94" s="13"/>
      <c r="J94" s="13"/>
      <c r="K94" s="13"/>
      <c r="L94" s="13"/>
      <c r="M94" s="13"/>
      <c r="N94" s="13"/>
      <c r="O94" s="13"/>
      <c r="P94" s="13"/>
      <c r="Q94" s="13"/>
    </row>
    <row r="95" spans="1:17" s="11" customFormat="1" ht="15" customHeight="1" x14ac:dyDescent="0.2">
      <c r="A95" s="12"/>
      <c r="B95" s="2552"/>
      <c r="C95" s="226" t="s">
        <v>206</v>
      </c>
      <c r="D95" s="226">
        <v>0.7</v>
      </c>
      <c r="E95" s="226">
        <v>0.6</v>
      </c>
      <c r="F95" s="12"/>
      <c r="G95" s="13"/>
      <c r="H95" s="13"/>
      <c r="I95" s="13"/>
      <c r="J95" s="13"/>
      <c r="K95" s="13"/>
      <c r="L95" s="13"/>
      <c r="M95" s="13"/>
      <c r="N95" s="13"/>
      <c r="O95" s="13"/>
      <c r="P95" s="13"/>
      <c r="Q95" s="13"/>
    </row>
    <row r="96" spans="1:17" s="11" customFormat="1" ht="15" customHeight="1" x14ac:dyDescent="0.2">
      <c r="A96" s="12"/>
      <c r="B96" s="2552" t="s">
        <v>207</v>
      </c>
      <c r="C96" s="226" t="s">
        <v>204</v>
      </c>
      <c r="D96" s="226">
        <v>0.8</v>
      </c>
      <c r="E96" s="226">
        <v>0.7</v>
      </c>
      <c r="F96" s="12"/>
      <c r="G96" s="13"/>
      <c r="H96" s="13"/>
      <c r="I96" s="13"/>
      <c r="J96" s="13"/>
      <c r="K96" s="13"/>
      <c r="L96" s="13"/>
      <c r="M96" s="13"/>
      <c r="N96" s="13"/>
      <c r="O96" s="13"/>
      <c r="P96" s="13"/>
      <c r="Q96" s="13"/>
    </row>
    <row r="97" spans="1:17" s="11" customFormat="1" ht="15" customHeight="1" x14ac:dyDescent="0.2">
      <c r="A97" s="12"/>
      <c r="B97" s="2552"/>
      <c r="C97" s="226" t="s">
        <v>205</v>
      </c>
      <c r="D97" s="226">
        <v>0.7</v>
      </c>
      <c r="E97" s="226">
        <v>0.6</v>
      </c>
      <c r="F97" s="12"/>
      <c r="G97" s="13"/>
      <c r="H97" s="13"/>
      <c r="I97" s="13"/>
      <c r="J97" s="13"/>
      <c r="K97" s="13"/>
      <c r="L97" s="13"/>
      <c r="M97" s="13"/>
      <c r="N97" s="13"/>
      <c r="O97" s="13"/>
      <c r="P97" s="13"/>
      <c r="Q97" s="13"/>
    </row>
    <row r="98" spans="1:17" s="11" customFormat="1" ht="15" customHeight="1" x14ac:dyDescent="0.2">
      <c r="A98" s="12"/>
      <c r="B98" s="2552"/>
      <c r="C98" s="226" t="s">
        <v>206</v>
      </c>
      <c r="D98" s="226">
        <v>0.6</v>
      </c>
      <c r="E98" s="226">
        <v>0.5</v>
      </c>
      <c r="F98" s="12"/>
      <c r="G98" s="13"/>
      <c r="H98" s="13"/>
      <c r="I98" s="13"/>
      <c r="J98" s="13"/>
      <c r="K98" s="13"/>
      <c r="L98" s="13"/>
      <c r="M98" s="13"/>
      <c r="N98" s="13"/>
      <c r="O98" s="13"/>
      <c r="P98" s="13"/>
      <c r="Q98" s="13"/>
    </row>
    <row r="99" spans="1:17" s="11" customFormat="1" ht="15" customHeight="1" x14ac:dyDescent="0.2">
      <c r="A99" s="12"/>
      <c r="B99" s="227" t="s">
        <v>215</v>
      </c>
      <c r="C99" s="12"/>
      <c r="D99" s="12"/>
      <c r="E99" s="12"/>
      <c r="F99" s="12"/>
      <c r="G99" s="13"/>
      <c r="H99" s="13"/>
      <c r="I99" s="13"/>
      <c r="J99" s="13"/>
      <c r="K99" s="13"/>
      <c r="L99" s="13"/>
      <c r="M99" s="13"/>
      <c r="N99" s="13"/>
      <c r="O99" s="13"/>
      <c r="P99" s="13"/>
      <c r="Q99" s="13"/>
    </row>
    <row r="100" spans="1:17" s="11" customFormat="1" ht="15" customHeight="1" x14ac:dyDescent="0.2">
      <c r="A100" s="258"/>
      <c r="B100" s="258"/>
      <c r="C100" s="258"/>
      <c r="D100" s="258"/>
      <c r="E100" s="258"/>
      <c r="F100" s="258"/>
      <c r="G100" s="258"/>
      <c r="H100" s="13"/>
      <c r="I100" s="13"/>
      <c r="J100" s="13"/>
      <c r="K100" s="13"/>
      <c r="L100" s="13"/>
      <c r="M100" s="13"/>
      <c r="N100" s="13"/>
      <c r="O100" s="13"/>
      <c r="P100" s="13"/>
      <c r="Q100" s="13"/>
    </row>
    <row r="101" spans="1:17" s="11" customFormat="1" ht="15" customHeight="1" x14ac:dyDescent="0.2">
      <c r="A101" s="2569" t="s">
        <v>260</v>
      </c>
      <c r="B101" s="2570"/>
      <c r="C101" s="2570"/>
      <c r="D101" s="2570"/>
      <c r="E101" s="2570"/>
      <c r="F101" s="2570"/>
      <c r="G101" s="258"/>
      <c r="H101" s="13"/>
      <c r="I101" s="13"/>
      <c r="J101" s="13"/>
      <c r="K101" s="13"/>
      <c r="L101" s="13"/>
      <c r="M101" s="13"/>
      <c r="N101" s="13"/>
      <c r="O101" s="13"/>
      <c r="P101" s="13"/>
      <c r="Q101" s="13"/>
    </row>
    <row r="102" spans="1:17" s="11" customFormat="1" ht="14.25" customHeight="1" x14ac:dyDescent="0.2">
      <c r="B102" s="2565" t="s">
        <v>251</v>
      </c>
      <c r="C102" s="2565"/>
      <c r="D102" s="2565"/>
      <c r="E102" s="2565" t="s">
        <v>252</v>
      </c>
      <c r="F102" s="2565"/>
      <c r="G102" s="258"/>
      <c r="I102" s="257"/>
      <c r="J102" s="257"/>
      <c r="K102" s="257"/>
      <c r="L102" s="257"/>
      <c r="M102" s="257"/>
      <c r="N102" s="257"/>
      <c r="O102" s="257"/>
      <c r="P102" s="257"/>
      <c r="Q102" s="13"/>
    </row>
    <row r="103" spans="1:17" s="11" customFormat="1" ht="15" customHeight="1" x14ac:dyDescent="0.2">
      <c r="A103" s="258"/>
      <c r="B103" s="2565"/>
      <c r="C103" s="2565"/>
      <c r="D103" s="2565"/>
      <c r="E103" s="2565"/>
      <c r="F103" s="2565"/>
      <c r="G103" s="258"/>
      <c r="H103" s="257"/>
      <c r="I103" s="257"/>
      <c r="J103" s="257"/>
      <c r="K103" s="257"/>
      <c r="L103" s="257"/>
      <c r="M103" s="257"/>
      <c r="N103" s="257"/>
      <c r="O103" s="257"/>
      <c r="P103" s="257"/>
      <c r="Q103" s="13"/>
    </row>
    <row r="104" spans="1:17" s="11" customFormat="1" ht="14.25" x14ac:dyDescent="0.2">
      <c r="A104" s="258"/>
      <c r="B104" s="1873" t="s">
        <v>253</v>
      </c>
      <c r="C104" s="1873" t="s">
        <v>254</v>
      </c>
      <c r="D104" s="1873"/>
      <c r="E104" s="1873">
        <v>0.9</v>
      </c>
      <c r="F104" s="1873"/>
      <c r="G104" s="258"/>
      <c r="H104" s="13"/>
      <c r="I104" s="2554" t="s">
        <v>212</v>
      </c>
      <c r="J104" s="2554"/>
      <c r="K104" s="2554"/>
      <c r="L104" s="2554"/>
      <c r="M104" s="2554"/>
      <c r="N104" s="2554"/>
      <c r="O104" s="13"/>
      <c r="P104" s="13"/>
      <c r="Q104" s="13"/>
    </row>
    <row r="105" spans="1:17" s="11" customFormat="1" ht="15" customHeight="1" x14ac:dyDescent="0.2">
      <c r="A105" s="258"/>
      <c r="B105" s="1873"/>
      <c r="C105" s="1873" t="s">
        <v>255</v>
      </c>
      <c r="D105" s="1873"/>
      <c r="E105" s="1873">
        <v>0.68</v>
      </c>
      <c r="F105" s="1873"/>
      <c r="G105" s="258"/>
      <c r="H105" s="13"/>
      <c r="I105" s="13"/>
      <c r="J105" s="2522" t="s">
        <v>209</v>
      </c>
      <c r="K105" s="2522"/>
      <c r="L105" s="2522" t="s">
        <v>210</v>
      </c>
      <c r="M105" s="2522"/>
      <c r="N105" s="13"/>
      <c r="O105" s="13"/>
      <c r="P105" s="13"/>
      <c r="Q105" s="13"/>
    </row>
    <row r="106" spans="1:17" s="11" customFormat="1" ht="15" customHeight="1" x14ac:dyDescent="0.2">
      <c r="A106" s="258"/>
      <c r="B106" s="1873"/>
      <c r="C106" s="1873" t="s">
        <v>256</v>
      </c>
      <c r="D106" s="1873"/>
      <c r="E106" s="1873">
        <v>0.27</v>
      </c>
      <c r="F106" s="1873"/>
      <c r="G106" s="258"/>
      <c r="H106" s="13"/>
      <c r="I106" s="13"/>
      <c r="J106" s="2550"/>
      <c r="K106" s="2550"/>
      <c r="L106" s="2550"/>
      <c r="M106" s="2550"/>
      <c r="N106" s="13"/>
      <c r="O106" s="13"/>
      <c r="P106" s="13"/>
      <c r="Q106" s="13"/>
    </row>
    <row r="107" spans="1:17" s="11" customFormat="1" ht="15" customHeight="1" x14ac:dyDescent="0.2">
      <c r="A107" s="258"/>
      <c r="B107" s="1873" t="s">
        <v>257</v>
      </c>
      <c r="C107" s="1873" t="s">
        <v>254</v>
      </c>
      <c r="D107" s="1873"/>
      <c r="E107" s="1873">
        <v>0.81</v>
      </c>
      <c r="F107" s="1873"/>
      <c r="G107" s="258"/>
      <c r="H107" s="13"/>
      <c r="I107" s="13"/>
      <c r="J107" s="2548" t="s">
        <v>187</v>
      </c>
      <c r="K107" s="2549"/>
      <c r="L107" s="2548">
        <v>0.7</v>
      </c>
      <c r="M107" s="2549"/>
      <c r="N107" s="13"/>
      <c r="O107" s="13"/>
      <c r="P107" s="13"/>
      <c r="Q107" s="13"/>
    </row>
    <row r="108" spans="1:17" s="11" customFormat="1" ht="15" customHeight="1" x14ac:dyDescent="0.2">
      <c r="A108" s="258"/>
      <c r="B108" s="1873"/>
      <c r="C108" s="1873" t="s">
        <v>255</v>
      </c>
      <c r="D108" s="1873"/>
      <c r="E108" s="1873">
        <v>0.62</v>
      </c>
      <c r="F108" s="1873"/>
      <c r="G108" s="258"/>
      <c r="H108" s="13"/>
      <c r="I108" s="13"/>
      <c r="J108" s="2548" t="s">
        <v>211</v>
      </c>
      <c r="K108" s="2549"/>
      <c r="L108" s="2548">
        <v>0.5</v>
      </c>
      <c r="M108" s="2549"/>
      <c r="N108" s="13"/>
      <c r="O108" s="13"/>
      <c r="P108" s="13"/>
      <c r="Q108" s="13"/>
    </row>
    <row r="109" spans="1:17" s="11" customFormat="1" ht="15" customHeight="1" x14ac:dyDescent="0.2">
      <c r="A109" s="258"/>
      <c r="B109" s="1873"/>
      <c r="C109" s="1873" t="s">
        <v>256</v>
      </c>
      <c r="D109" s="1873"/>
      <c r="E109" s="1873">
        <v>0.1</v>
      </c>
      <c r="F109" s="1873"/>
      <c r="G109" s="258"/>
      <c r="H109" s="13"/>
      <c r="I109" s="13"/>
      <c r="J109" s="2548" t="s">
        <v>189</v>
      </c>
      <c r="K109" s="2549"/>
      <c r="L109" s="2548">
        <v>0.2</v>
      </c>
      <c r="M109" s="2549"/>
      <c r="N109" s="13"/>
      <c r="O109" s="13"/>
      <c r="P109" s="13"/>
      <c r="Q109" s="13"/>
    </row>
    <row r="110" spans="1:17" s="11" customFormat="1" ht="15" customHeight="1" x14ac:dyDescent="0.2">
      <c r="A110" s="258"/>
      <c r="B110" s="1873"/>
      <c r="C110" s="1873" t="s">
        <v>258</v>
      </c>
      <c r="D110" s="1873"/>
      <c r="E110" s="1873">
        <v>0.75</v>
      </c>
      <c r="F110" s="1873"/>
      <c r="G110" s="258"/>
      <c r="H110" s="13"/>
      <c r="I110" s="13"/>
      <c r="J110" s="227" t="s">
        <v>213</v>
      </c>
      <c r="K110" s="13"/>
      <c r="L110" s="13"/>
      <c r="M110" s="13"/>
      <c r="N110" s="13"/>
      <c r="O110" s="13"/>
      <c r="P110" s="13"/>
      <c r="Q110" s="13"/>
    </row>
    <row r="111" spans="1:17" s="11" customFormat="1" ht="15" customHeight="1" x14ac:dyDescent="0.2">
      <c r="A111" s="258"/>
      <c r="B111" s="1873"/>
      <c r="C111" s="1873" t="s">
        <v>259</v>
      </c>
      <c r="D111" s="1873"/>
      <c r="E111" s="1873">
        <v>0.64</v>
      </c>
      <c r="F111" s="1873"/>
      <c r="G111" s="258"/>
      <c r="H111" s="13"/>
      <c r="I111" s="13"/>
      <c r="J111" s="227"/>
      <c r="K111" s="13"/>
      <c r="L111" s="13"/>
      <c r="M111" s="13"/>
      <c r="N111" s="13"/>
      <c r="O111" s="13"/>
      <c r="P111" s="13"/>
      <c r="Q111" s="13"/>
    </row>
    <row r="112" spans="1:17" s="11" customFormat="1" ht="15" customHeight="1" x14ac:dyDescent="0.2">
      <c r="A112" s="258"/>
      <c r="B112" s="259" t="s">
        <v>261</v>
      </c>
      <c r="C112" s="258"/>
      <c r="D112" s="258"/>
      <c r="E112" s="258"/>
      <c r="F112" s="258"/>
      <c r="G112" s="258"/>
      <c r="H112" s="13"/>
      <c r="I112" s="13"/>
      <c r="J112" s="227"/>
      <c r="K112" s="13"/>
      <c r="L112" s="13"/>
      <c r="M112" s="13"/>
      <c r="N112" s="13"/>
      <c r="O112" s="13"/>
      <c r="P112" s="13"/>
      <c r="Q112" s="13"/>
    </row>
    <row r="113" spans="1:17" s="11" customFormat="1" ht="15" customHeight="1" x14ac:dyDescent="0.2">
      <c r="A113" s="258"/>
      <c r="B113" s="259"/>
      <c r="C113" s="258"/>
      <c r="D113" s="258"/>
      <c r="E113" s="258"/>
      <c r="F113" s="258"/>
      <c r="G113" s="258"/>
      <c r="H113" s="13"/>
      <c r="I113" s="13"/>
      <c r="J113" s="227"/>
      <c r="K113" s="13"/>
      <c r="L113" s="13"/>
      <c r="M113" s="13"/>
      <c r="N113" s="13"/>
      <c r="O113" s="13"/>
      <c r="P113" s="13"/>
      <c r="Q113" s="13"/>
    </row>
    <row r="114" spans="1:17" s="11" customFormat="1" ht="15" customHeight="1" x14ac:dyDescent="0.2">
      <c r="A114" s="224"/>
      <c r="B114" s="224"/>
      <c r="C114" s="224"/>
      <c r="D114" s="224"/>
      <c r="E114" s="224"/>
      <c r="F114" s="224"/>
      <c r="G114" s="224"/>
      <c r="H114" s="224"/>
      <c r="I114" s="224"/>
      <c r="J114" s="224"/>
      <c r="K114" s="224"/>
      <c r="L114" s="224"/>
      <c r="M114" s="224"/>
      <c r="N114" s="224"/>
      <c r="O114" s="224"/>
      <c r="P114" s="224"/>
      <c r="Q114" s="224"/>
    </row>
    <row r="115" spans="1:17" s="11" customFormat="1" ht="21.75" customHeight="1" x14ac:dyDescent="0.2">
      <c r="A115" s="2520" t="s">
        <v>1891</v>
      </c>
      <c r="B115" s="2520"/>
      <c r="C115" s="2520"/>
      <c r="D115" s="2520"/>
      <c r="E115" s="2520"/>
      <c r="F115" s="2520"/>
      <c r="G115" s="2520"/>
      <c r="H115" s="2520"/>
      <c r="I115" s="2520"/>
      <c r="J115" s="2520"/>
      <c r="K115" s="13"/>
      <c r="L115" s="13"/>
      <c r="M115" s="13"/>
      <c r="N115" s="13"/>
      <c r="O115" s="13"/>
      <c r="P115" s="13"/>
      <c r="Q115" s="13"/>
    </row>
    <row r="116" spans="1:17" s="11" customFormat="1" ht="18" customHeight="1" x14ac:dyDescent="0.2">
      <c r="A116" s="258"/>
      <c r="B116" s="258"/>
      <c r="C116" s="258"/>
      <c r="D116" s="258"/>
      <c r="E116" s="258"/>
      <c r="F116" s="258"/>
      <c r="G116" s="258"/>
      <c r="H116" s="12"/>
      <c r="I116" s="12"/>
      <c r="J116" s="12"/>
      <c r="K116" s="12"/>
      <c r="L116" s="12"/>
      <c r="M116" s="12"/>
      <c r="N116" s="12"/>
      <c r="O116" s="12"/>
      <c r="P116" s="12"/>
      <c r="Q116" s="12"/>
    </row>
    <row r="117" spans="1:17" s="11" customFormat="1" ht="18" customHeight="1" x14ac:dyDescent="0.2">
      <c r="A117" s="258"/>
      <c r="B117" s="2543" t="s">
        <v>1969</v>
      </c>
      <c r="C117" s="2543"/>
      <c r="D117" s="2543"/>
      <c r="E117" s="2543"/>
      <c r="F117" s="2543"/>
      <c r="G117" s="2543"/>
      <c r="H117" s="2543"/>
      <c r="I117" s="2543"/>
      <c r="J117" s="2543"/>
      <c r="K117" s="2543"/>
      <c r="L117" s="2543"/>
      <c r="M117" s="2543"/>
      <c r="N117" s="12"/>
      <c r="O117" s="12"/>
      <c r="P117" s="12"/>
      <c r="Q117" s="12"/>
    </row>
    <row r="118" spans="1:17" s="11" customFormat="1" ht="30" customHeight="1" x14ac:dyDescent="0.2">
      <c r="A118" s="12"/>
      <c r="B118" s="2522" t="s">
        <v>1892</v>
      </c>
      <c r="C118" s="2522"/>
      <c r="D118" s="2522" t="s">
        <v>1893</v>
      </c>
      <c r="E118" s="2522"/>
      <c r="F118" s="2522" t="s">
        <v>1894</v>
      </c>
      <c r="G118" s="2522"/>
      <c r="H118" s="2522" t="s">
        <v>1895</v>
      </c>
      <c r="I118" s="2522"/>
      <c r="J118" s="2522" t="s">
        <v>1896</v>
      </c>
      <c r="K118" s="2522"/>
      <c r="L118" s="2522" t="s">
        <v>1897</v>
      </c>
      <c r="M118" s="2522"/>
      <c r="N118" s="13"/>
      <c r="O118" s="13"/>
      <c r="P118" s="13"/>
      <c r="Q118" s="13"/>
    </row>
    <row r="119" spans="1:17" s="11" customFormat="1" ht="24" customHeight="1" x14ac:dyDescent="0.2">
      <c r="A119" s="12"/>
      <c r="B119" s="1927" t="s">
        <v>1850</v>
      </c>
      <c r="C119" s="1927"/>
      <c r="D119" s="1927" t="s">
        <v>1898</v>
      </c>
      <c r="E119" s="1927"/>
      <c r="F119" s="1927">
        <v>0.7</v>
      </c>
      <c r="G119" s="1927"/>
      <c r="H119" s="1927" t="s">
        <v>1899</v>
      </c>
      <c r="I119" s="1927"/>
      <c r="J119" s="1927" t="s">
        <v>1900</v>
      </c>
      <c r="K119" s="1927"/>
      <c r="L119" s="1927"/>
      <c r="M119" s="1927"/>
      <c r="N119" s="13"/>
      <c r="O119" s="13"/>
      <c r="P119" s="13"/>
      <c r="Q119" s="13"/>
    </row>
    <row r="120" spans="1:17" s="11" customFormat="1" ht="15" customHeight="1" x14ac:dyDescent="0.2">
      <c r="A120" s="12"/>
      <c r="B120" s="1927" t="s">
        <v>1902</v>
      </c>
      <c r="C120" s="1927"/>
      <c r="D120" s="1927" t="s">
        <v>1903</v>
      </c>
      <c r="E120" s="1927"/>
      <c r="F120" s="1927">
        <v>0.8</v>
      </c>
      <c r="G120" s="1927"/>
      <c r="H120" s="1927" t="s">
        <v>1901</v>
      </c>
      <c r="I120" s="1927"/>
      <c r="J120" s="1927" t="s">
        <v>1904</v>
      </c>
      <c r="K120" s="1927"/>
      <c r="L120" s="1927"/>
      <c r="M120" s="1927"/>
      <c r="N120" s="13"/>
      <c r="O120" s="13"/>
      <c r="P120" s="13"/>
      <c r="Q120" s="13"/>
    </row>
    <row r="121" spans="1:17" s="11" customFormat="1" ht="25.5" customHeight="1" x14ac:dyDescent="0.2">
      <c r="A121" s="12"/>
      <c r="B121" s="1927" t="s">
        <v>1905</v>
      </c>
      <c r="C121" s="1927"/>
      <c r="D121" s="1927" t="s">
        <v>1906</v>
      </c>
      <c r="E121" s="1927"/>
      <c r="F121" s="1927">
        <v>0.8</v>
      </c>
      <c r="G121" s="1927"/>
      <c r="H121" s="1927" t="s">
        <v>1901</v>
      </c>
      <c r="I121" s="1927"/>
      <c r="J121" s="1927" t="s">
        <v>1907</v>
      </c>
      <c r="K121" s="1927"/>
      <c r="L121" s="1927"/>
      <c r="M121" s="1927"/>
      <c r="N121" s="13"/>
      <c r="O121" s="13"/>
      <c r="P121" s="13"/>
      <c r="Q121" s="13"/>
    </row>
    <row r="122" spans="1:17" s="11" customFormat="1" ht="25.5" customHeight="1" x14ac:dyDescent="0.2">
      <c r="A122" s="12"/>
      <c r="B122" s="1927"/>
      <c r="C122" s="1927"/>
      <c r="D122" s="1927" t="s">
        <v>1924</v>
      </c>
      <c r="E122" s="1927"/>
      <c r="F122" s="1927">
        <v>0.8</v>
      </c>
      <c r="G122" s="1927"/>
      <c r="H122" s="1927" t="s">
        <v>1901</v>
      </c>
      <c r="I122" s="1927"/>
      <c r="J122" s="1927" t="s">
        <v>1907</v>
      </c>
      <c r="K122" s="1927"/>
      <c r="L122" s="1927"/>
      <c r="M122" s="1927"/>
      <c r="N122" s="13"/>
      <c r="O122" s="13"/>
      <c r="P122" s="13"/>
      <c r="Q122" s="13"/>
    </row>
    <row r="123" spans="1:17" s="11" customFormat="1" ht="15" customHeight="1" x14ac:dyDescent="0.2">
      <c r="A123" s="12"/>
      <c r="B123" s="1927"/>
      <c r="C123" s="1927"/>
      <c r="D123" s="1927" t="s">
        <v>1908</v>
      </c>
      <c r="E123" s="1927"/>
      <c r="F123" s="1927">
        <v>0.8</v>
      </c>
      <c r="G123" s="1927"/>
      <c r="H123" s="1927" t="s">
        <v>1901</v>
      </c>
      <c r="I123" s="1927"/>
      <c r="J123" s="1927" t="s">
        <v>1907</v>
      </c>
      <c r="K123" s="1927"/>
      <c r="L123" s="1927"/>
      <c r="M123" s="1927"/>
      <c r="N123" s="13"/>
      <c r="O123" s="13"/>
      <c r="P123" s="13"/>
      <c r="Q123" s="13"/>
    </row>
    <row r="124" spans="1:17" s="11" customFormat="1" ht="15" customHeight="1" x14ac:dyDescent="0.2">
      <c r="A124" s="12"/>
      <c r="B124" s="1927"/>
      <c r="C124" s="1927"/>
      <c r="D124" s="1927" t="s">
        <v>1909</v>
      </c>
      <c r="E124" s="1927"/>
      <c r="F124" s="1927">
        <v>0.8</v>
      </c>
      <c r="G124" s="1927"/>
      <c r="H124" s="1927" t="s">
        <v>1901</v>
      </c>
      <c r="I124" s="1927"/>
      <c r="J124" s="1927" t="s">
        <v>1910</v>
      </c>
      <c r="K124" s="1927"/>
      <c r="L124" s="1927"/>
      <c r="M124" s="1927"/>
      <c r="N124" s="13"/>
      <c r="O124" s="13"/>
      <c r="P124" s="13"/>
      <c r="Q124" s="13"/>
    </row>
    <row r="125" spans="1:17" s="11" customFormat="1" ht="15" customHeight="1" x14ac:dyDescent="0.2">
      <c r="A125" s="12"/>
      <c r="B125" s="1927"/>
      <c r="C125" s="1927"/>
      <c r="D125" s="1927" t="s">
        <v>1911</v>
      </c>
      <c r="E125" s="1927"/>
      <c r="F125" s="1927">
        <v>0.8</v>
      </c>
      <c r="G125" s="1927"/>
      <c r="H125" s="1927" t="s">
        <v>1901</v>
      </c>
      <c r="I125" s="1927"/>
      <c r="J125" s="1927" t="s">
        <v>1907</v>
      </c>
      <c r="K125" s="1927"/>
      <c r="L125" s="1927"/>
      <c r="M125" s="1927"/>
      <c r="N125" s="13"/>
      <c r="O125" s="13"/>
      <c r="P125" s="13"/>
      <c r="Q125" s="13"/>
    </row>
    <row r="126" spans="1:17" s="11" customFormat="1" ht="15" customHeight="1" x14ac:dyDescent="0.2">
      <c r="A126" s="12"/>
      <c r="B126" s="1927"/>
      <c r="C126" s="1927"/>
      <c r="D126" s="1927" t="s">
        <v>1912</v>
      </c>
      <c r="E126" s="1927"/>
      <c r="F126" s="1927">
        <v>0.7</v>
      </c>
      <c r="G126" s="1927"/>
      <c r="H126" s="1927" t="s">
        <v>1899</v>
      </c>
      <c r="I126" s="1927"/>
      <c r="J126" s="1927" t="s">
        <v>1913</v>
      </c>
      <c r="K126" s="1927"/>
      <c r="L126" s="1927"/>
      <c r="M126" s="1927"/>
      <c r="N126" s="13"/>
      <c r="O126" s="13"/>
      <c r="P126" s="13"/>
      <c r="Q126" s="13"/>
    </row>
    <row r="127" spans="1:17" s="11" customFormat="1" ht="15" customHeight="1" x14ac:dyDescent="0.2">
      <c r="A127" s="12"/>
      <c r="B127" s="1927"/>
      <c r="C127" s="1927"/>
      <c r="D127" s="1927" t="s">
        <v>1868</v>
      </c>
      <c r="E127" s="1927"/>
      <c r="F127" s="1927">
        <v>0.7</v>
      </c>
      <c r="G127" s="1927"/>
      <c r="H127" s="1927" t="s">
        <v>1899</v>
      </c>
      <c r="I127" s="1927"/>
      <c r="J127" s="1927" t="s">
        <v>1913</v>
      </c>
      <c r="K127" s="1927"/>
      <c r="L127" s="1927"/>
      <c r="M127" s="1927"/>
      <c r="N127" s="13"/>
      <c r="O127" s="13"/>
      <c r="P127" s="13"/>
      <c r="Q127" s="13"/>
    </row>
    <row r="128" spans="1:17" s="11" customFormat="1" ht="15" customHeight="1" x14ac:dyDescent="0.2">
      <c r="A128" s="12"/>
      <c r="B128" s="1927"/>
      <c r="C128" s="1927"/>
      <c r="D128" s="1927" t="s">
        <v>1914</v>
      </c>
      <c r="E128" s="1927"/>
      <c r="F128" s="1927">
        <v>0.8</v>
      </c>
      <c r="G128" s="1927"/>
      <c r="H128" s="1927" t="s">
        <v>1901</v>
      </c>
      <c r="I128" s="1927"/>
      <c r="J128" s="1927" t="s">
        <v>1910</v>
      </c>
      <c r="K128" s="1927"/>
      <c r="L128" s="1927"/>
      <c r="M128" s="1927"/>
      <c r="N128" s="13"/>
      <c r="O128" s="13"/>
      <c r="P128" s="13"/>
      <c r="Q128" s="13"/>
    </row>
    <row r="129" spans="1:17" s="11" customFormat="1" ht="15" customHeight="1" x14ac:dyDescent="0.2">
      <c r="A129" s="12"/>
      <c r="B129" s="1927"/>
      <c r="C129" s="1927"/>
      <c r="D129" s="1927" t="s">
        <v>1915</v>
      </c>
      <c r="E129" s="1927"/>
      <c r="F129" s="1927">
        <v>0.7</v>
      </c>
      <c r="G129" s="1927"/>
      <c r="H129" s="1927" t="s">
        <v>1899</v>
      </c>
      <c r="I129" s="1927"/>
      <c r="J129" s="1927" t="s">
        <v>1913</v>
      </c>
      <c r="K129" s="1927"/>
      <c r="L129" s="1927"/>
      <c r="M129" s="1927"/>
      <c r="N129" s="13"/>
      <c r="O129" s="13"/>
      <c r="P129" s="13"/>
      <c r="Q129" s="13"/>
    </row>
    <row r="130" spans="1:17" s="11" customFormat="1" ht="15" customHeight="1" x14ac:dyDescent="0.2">
      <c r="A130" s="12"/>
      <c r="B130" s="1927"/>
      <c r="C130" s="1927"/>
      <c r="D130" s="1927" t="s">
        <v>1916</v>
      </c>
      <c r="E130" s="1927"/>
      <c r="F130" s="1927">
        <v>0.7</v>
      </c>
      <c r="G130" s="1927"/>
      <c r="H130" s="1927" t="s">
        <v>1899</v>
      </c>
      <c r="I130" s="1927"/>
      <c r="J130" s="1927" t="s">
        <v>1913</v>
      </c>
      <c r="K130" s="1927"/>
      <c r="L130" s="1927"/>
      <c r="M130" s="1927"/>
      <c r="N130" s="13"/>
      <c r="O130" s="13"/>
      <c r="P130" s="13"/>
      <c r="Q130" s="13"/>
    </row>
    <row r="131" spans="1:17" s="11" customFormat="1" ht="61.5" customHeight="1" x14ac:dyDescent="0.2">
      <c r="A131" s="12"/>
      <c r="B131" s="1927" t="s">
        <v>937</v>
      </c>
      <c r="C131" s="1927"/>
      <c r="D131" s="2573" t="s">
        <v>1899</v>
      </c>
      <c r="E131" s="2573"/>
      <c r="F131" s="2573">
        <v>0.7</v>
      </c>
      <c r="G131" s="2573"/>
      <c r="H131" s="2573" t="s">
        <v>1901</v>
      </c>
      <c r="I131" s="2573"/>
      <c r="J131" s="1927" t="s">
        <v>1917</v>
      </c>
      <c r="K131" s="1927"/>
      <c r="L131" s="1927" t="s">
        <v>1925</v>
      </c>
      <c r="M131" s="2573"/>
      <c r="N131" s="13"/>
      <c r="O131" s="13"/>
      <c r="P131" s="13"/>
      <c r="Q131" s="13"/>
    </row>
    <row r="132" spans="1:17" s="11" customFormat="1" ht="15" customHeight="1" x14ac:dyDescent="0.2">
      <c r="A132" s="12"/>
      <c r="B132" s="1927"/>
      <c r="C132" s="1927"/>
      <c r="D132" s="2573"/>
      <c r="E132" s="2573"/>
      <c r="F132" s="2573"/>
      <c r="G132" s="2573"/>
      <c r="H132" s="2573"/>
      <c r="I132" s="2573"/>
      <c r="J132" s="1927"/>
      <c r="K132" s="1927"/>
      <c r="L132" s="2573" t="s">
        <v>1918</v>
      </c>
      <c r="M132" s="2573"/>
      <c r="N132" s="13"/>
      <c r="O132" s="13"/>
      <c r="P132" s="13"/>
      <c r="Q132" s="13"/>
    </row>
    <row r="133" spans="1:17" s="11" customFormat="1" ht="15" customHeight="1" x14ac:dyDescent="0.2">
      <c r="A133" s="12"/>
      <c r="B133" s="1927" t="s">
        <v>1919</v>
      </c>
      <c r="C133" s="1927"/>
      <c r="D133" s="1927" t="s">
        <v>1920</v>
      </c>
      <c r="E133" s="1927"/>
      <c r="F133" s="1927">
        <v>0.2</v>
      </c>
      <c r="G133" s="1927"/>
      <c r="H133" s="1927" t="s">
        <v>1901</v>
      </c>
      <c r="I133" s="1927"/>
      <c r="J133" s="1927" t="s">
        <v>1921</v>
      </c>
      <c r="K133" s="1927"/>
      <c r="L133" s="1927"/>
      <c r="M133" s="1927"/>
      <c r="N133" s="13"/>
      <c r="O133" s="13"/>
      <c r="P133" s="13"/>
      <c r="Q133" s="13"/>
    </row>
    <row r="134" spans="1:17" s="11" customFormat="1" ht="26.25" customHeight="1" x14ac:dyDescent="0.2">
      <c r="A134" s="12"/>
      <c r="B134" s="1927"/>
      <c r="C134" s="1927"/>
      <c r="D134" s="1927" t="s">
        <v>1856</v>
      </c>
      <c r="E134" s="1927"/>
      <c r="F134" s="1927">
        <v>0.5</v>
      </c>
      <c r="G134" s="1927"/>
      <c r="H134" s="1927" t="s">
        <v>1922</v>
      </c>
      <c r="I134" s="1927"/>
      <c r="J134" s="1927" t="s">
        <v>1923</v>
      </c>
      <c r="K134" s="1927"/>
      <c r="L134" s="1927"/>
      <c r="M134" s="1927"/>
      <c r="N134" s="13"/>
      <c r="O134" s="13"/>
      <c r="P134" s="13"/>
      <c r="Q134" s="13"/>
    </row>
    <row r="135" spans="1:17" s="11" customFormat="1" ht="15" customHeight="1" x14ac:dyDescent="0.2">
      <c r="A135" s="12"/>
      <c r="B135" s="12"/>
      <c r="C135" s="12"/>
      <c r="D135" s="12"/>
      <c r="E135" s="12"/>
      <c r="F135" s="12"/>
      <c r="G135" s="13"/>
      <c r="H135" s="13"/>
      <c r="I135" s="13"/>
      <c r="J135" s="13"/>
      <c r="K135" s="13"/>
      <c r="L135" s="13"/>
      <c r="M135" s="13"/>
      <c r="N135" s="13"/>
      <c r="O135" s="13"/>
      <c r="P135" s="13"/>
      <c r="Q135" s="13"/>
    </row>
    <row r="136" spans="1:17" s="11" customFormat="1" ht="15" customHeight="1" x14ac:dyDescent="0.2">
      <c r="A136" s="224"/>
      <c r="B136" s="224"/>
      <c r="C136" s="224"/>
      <c r="D136" s="224"/>
      <c r="E136" s="224"/>
      <c r="F136" s="224"/>
      <c r="G136" s="224"/>
      <c r="H136" s="224"/>
      <c r="I136" s="224"/>
      <c r="J136" s="224"/>
      <c r="K136" s="224"/>
      <c r="L136" s="224"/>
      <c r="M136" s="224"/>
      <c r="N136" s="224"/>
      <c r="O136" s="224"/>
      <c r="P136" s="224"/>
      <c r="Q136" s="224"/>
    </row>
    <row r="137" spans="1:17" s="11" customFormat="1" ht="21.75" customHeight="1" x14ac:dyDescent="0.2">
      <c r="A137" s="2520" t="s">
        <v>2747</v>
      </c>
      <c r="B137" s="2520"/>
      <c r="C137" s="2520"/>
      <c r="D137" s="2520"/>
      <c r="E137" s="2520"/>
      <c r="F137" s="2520"/>
      <c r="G137" s="2520"/>
      <c r="H137" s="2520"/>
      <c r="I137" s="2520"/>
      <c r="J137" s="2520"/>
      <c r="K137" s="13"/>
      <c r="L137" s="13"/>
      <c r="M137" s="13"/>
      <c r="N137" s="13"/>
      <c r="O137" s="13"/>
      <c r="P137" s="13"/>
      <c r="Q137" s="13"/>
    </row>
    <row r="138" spans="1:17" s="11" customFormat="1" ht="18" customHeight="1" x14ac:dyDescent="0.2">
      <c r="A138" s="258"/>
      <c r="B138" s="258"/>
      <c r="C138" s="258"/>
      <c r="D138" s="258"/>
      <c r="E138" s="258"/>
      <c r="F138" s="258"/>
      <c r="G138" s="258"/>
      <c r="H138" s="12"/>
      <c r="I138" s="12"/>
      <c r="J138" s="12"/>
      <c r="K138" s="12"/>
      <c r="L138" s="12"/>
      <c r="M138" s="12"/>
      <c r="N138" s="12"/>
      <c r="O138" s="12"/>
      <c r="P138" s="12"/>
      <c r="Q138" s="12"/>
    </row>
    <row r="139" spans="1:17" s="11" customFormat="1" ht="18" customHeight="1" x14ac:dyDescent="0.2">
      <c r="A139" s="258"/>
      <c r="B139" s="2571" t="s">
        <v>2782</v>
      </c>
      <c r="C139" s="2571"/>
      <c r="D139" s="2571"/>
      <c r="E139" s="2571"/>
      <c r="F139" s="2571"/>
      <c r="G139" s="2571"/>
      <c r="H139" s="2571"/>
      <c r="I139" s="2571"/>
      <c r="J139" s="12"/>
      <c r="K139" s="12"/>
      <c r="L139" s="12"/>
      <c r="M139" s="12"/>
      <c r="N139" s="12"/>
      <c r="O139" s="12"/>
      <c r="P139" s="12"/>
      <c r="Q139" s="12"/>
    </row>
    <row r="140" spans="1:17" s="11" customFormat="1" ht="18" customHeight="1" x14ac:dyDescent="0.2">
      <c r="A140" s="258"/>
      <c r="B140" s="2572" t="s">
        <v>2749</v>
      </c>
      <c r="C140" s="2572"/>
      <c r="D140" s="2572"/>
      <c r="E140" s="2572"/>
      <c r="F140" s="2572"/>
      <c r="G140" s="2572"/>
      <c r="H140" s="2572"/>
      <c r="I140" s="2572"/>
      <c r="J140" s="12"/>
      <c r="K140" s="12"/>
      <c r="L140" s="12"/>
      <c r="M140" s="12"/>
      <c r="N140" s="12"/>
      <c r="O140" s="12"/>
      <c r="P140" s="12"/>
      <c r="Q140" s="12"/>
    </row>
    <row r="141" spans="1:17" s="11" customFormat="1" ht="10.5" customHeight="1" x14ac:dyDescent="0.2">
      <c r="A141" s="12"/>
      <c r="B141" s="12"/>
      <c r="C141" s="12"/>
      <c r="D141" s="12"/>
      <c r="E141" s="12"/>
      <c r="F141" s="12"/>
      <c r="G141" s="12"/>
      <c r="H141" s="12"/>
      <c r="I141" s="12"/>
      <c r="J141" s="12"/>
      <c r="K141" s="12"/>
      <c r="L141" s="12"/>
      <c r="M141" s="12"/>
      <c r="N141" s="12"/>
      <c r="O141" s="12"/>
      <c r="P141" s="12"/>
      <c r="Q141" s="12"/>
    </row>
    <row r="142" spans="1:17" s="11" customFormat="1" ht="18" customHeight="1" x14ac:dyDescent="0.2">
      <c r="A142" s="258"/>
      <c r="B142" s="2521" t="s">
        <v>609</v>
      </c>
      <c r="C142" s="2522"/>
      <c r="D142" s="2568" t="s">
        <v>2750</v>
      </c>
      <c r="E142" s="2568"/>
      <c r="F142" s="2568"/>
      <c r="G142" s="2568"/>
      <c r="H142" s="2523" t="s">
        <v>2751</v>
      </c>
      <c r="I142" s="2523"/>
      <c r="J142" s="12"/>
      <c r="K142" s="12"/>
      <c r="L142" s="12"/>
      <c r="M142" s="12"/>
      <c r="N142" s="12"/>
      <c r="O142" s="12"/>
      <c r="P142" s="12"/>
      <c r="Q142" s="12"/>
    </row>
    <row r="143" spans="1:17" s="11" customFormat="1" ht="18" customHeight="1" x14ac:dyDescent="0.2">
      <c r="A143" s="258"/>
      <c r="B143" s="2511" t="s">
        <v>2752</v>
      </c>
      <c r="C143" s="2512"/>
      <c r="D143" s="2517" t="s">
        <v>610</v>
      </c>
      <c r="E143" s="2517"/>
      <c r="F143" s="2517"/>
      <c r="G143" s="2517"/>
      <c r="H143" s="2518">
        <v>6</v>
      </c>
      <c r="I143" s="2518"/>
      <c r="J143" s="12"/>
      <c r="K143" s="12"/>
      <c r="L143" s="12"/>
      <c r="M143" s="12"/>
      <c r="N143" s="12"/>
      <c r="O143" s="12"/>
      <c r="P143" s="12"/>
      <c r="Q143" s="12"/>
    </row>
    <row r="144" spans="1:17" s="11" customFormat="1" ht="18" customHeight="1" x14ac:dyDescent="0.2">
      <c r="A144" s="258"/>
      <c r="B144" s="2513"/>
      <c r="C144" s="2514"/>
      <c r="D144" s="2517" t="s">
        <v>611</v>
      </c>
      <c r="E144" s="2517"/>
      <c r="F144" s="2517"/>
      <c r="G144" s="2517"/>
      <c r="H144" s="2518">
        <v>12</v>
      </c>
      <c r="I144" s="2518"/>
      <c r="J144" s="12"/>
      <c r="K144" s="12"/>
      <c r="L144" s="12"/>
      <c r="M144" s="12"/>
      <c r="N144" s="12"/>
      <c r="O144" s="12"/>
      <c r="P144" s="12"/>
      <c r="Q144" s="12"/>
    </row>
    <row r="145" spans="1:17" s="11" customFormat="1" ht="18" customHeight="1" x14ac:dyDescent="0.2">
      <c r="A145" s="258"/>
      <c r="B145" s="2513"/>
      <c r="C145" s="2514"/>
      <c r="D145" s="2517" t="s">
        <v>2753</v>
      </c>
      <c r="E145" s="2517"/>
      <c r="F145" s="2517"/>
      <c r="G145" s="2517"/>
      <c r="H145" s="2518">
        <v>10</v>
      </c>
      <c r="I145" s="2518"/>
      <c r="J145" s="12"/>
      <c r="K145" s="12"/>
      <c r="L145" s="12"/>
      <c r="M145" s="12"/>
      <c r="N145" s="12"/>
      <c r="O145" s="12"/>
      <c r="P145" s="12"/>
      <c r="Q145" s="12"/>
    </row>
    <row r="146" spans="1:17" s="11" customFormat="1" ht="18" customHeight="1" x14ac:dyDescent="0.2">
      <c r="A146" s="258"/>
      <c r="B146" s="2513"/>
      <c r="C146" s="2514"/>
      <c r="D146" s="2517" t="s">
        <v>612</v>
      </c>
      <c r="E146" s="2517"/>
      <c r="F146" s="2517"/>
      <c r="G146" s="2517"/>
      <c r="H146" s="2518">
        <v>13</v>
      </c>
      <c r="I146" s="2518"/>
      <c r="J146" s="12"/>
      <c r="K146" s="12"/>
      <c r="L146" s="12"/>
      <c r="M146" s="12"/>
      <c r="N146" s="12"/>
      <c r="O146" s="12"/>
      <c r="P146" s="12"/>
      <c r="Q146" s="12"/>
    </row>
    <row r="147" spans="1:17" s="11" customFormat="1" ht="18" customHeight="1" x14ac:dyDescent="0.2">
      <c r="A147" s="258"/>
      <c r="B147" s="2513"/>
      <c r="C147" s="2514"/>
      <c r="D147" s="2517" t="s">
        <v>613</v>
      </c>
      <c r="E147" s="2517"/>
      <c r="F147" s="2517"/>
      <c r="G147" s="2517"/>
      <c r="H147" s="2518">
        <v>8</v>
      </c>
      <c r="I147" s="2518"/>
      <c r="J147" s="12"/>
      <c r="K147" s="12"/>
      <c r="L147" s="12"/>
      <c r="M147" s="12"/>
      <c r="N147" s="12"/>
      <c r="O147" s="12"/>
      <c r="P147" s="12"/>
      <c r="Q147" s="12"/>
    </row>
    <row r="148" spans="1:17" s="11" customFormat="1" ht="18" customHeight="1" x14ac:dyDescent="0.2">
      <c r="A148" s="258"/>
      <c r="B148" s="2513"/>
      <c r="C148" s="2514"/>
      <c r="D148" s="2517" t="s">
        <v>614</v>
      </c>
      <c r="E148" s="2517"/>
      <c r="F148" s="2517"/>
      <c r="G148" s="2517"/>
      <c r="H148" s="2518">
        <v>3</v>
      </c>
      <c r="I148" s="2518"/>
      <c r="J148" s="12"/>
      <c r="K148" s="12"/>
      <c r="L148" s="12"/>
      <c r="M148" s="12"/>
      <c r="N148" s="12"/>
      <c r="O148" s="12"/>
      <c r="P148" s="12"/>
      <c r="Q148" s="12"/>
    </row>
    <row r="149" spans="1:17" s="11" customFormat="1" ht="18" customHeight="1" x14ac:dyDescent="0.2">
      <c r="A149" s="258"/>
      <c r="B149" s="2513"/>
      <c r="C149" s="2514"/>
      <c r="D149" s="2517" t="s">
        <v>2754</v>
      </c>
      <c r="E149" s="2517"/>
      <c r="F149" s="2517"/>
      <c r="G149" s="2517"/>
      <c r="H149" s="2518">
        <v>14</v>
      </c>
      <c r="I149" s="2518"/>
      <c r="J149" s="12"/>
      <c r="K149" s="12"/>
      <c r="L149" s="12"/>
      <c r="M149" s="12"/>
      <c r="N149" s="12"/>
      <c r="O149" s="12"/>
      <c r="P149" s="12"/>
      <c r="Q149" s="12"/>
    </row>
    <row r="150" spans="1:17" s="11" customFormat="1" ht="18" customHeight="1" x14ac:dyDescent="0.2">
      <c r="A150" s="258"/>
      <c r="B150" s="2515"/>
      <c r="C150" s="2516"/>
      <c r="D150" s="2517" t="s">
        <v>2755</v>
      </c>
      <c r="E150" s="2517"/>
      <c r="F150" s="2517"/>
      <c r="G150" s="2517"/>
      <c r="H150" s="2518">
        <v>7</v>
      </c>
      <c r="I150" s="2518"/>
      <c r="J150" s="12"/>
      <c r="K150" s="12"/>
      <c r="L150" s="12"/>
      <c r="M150" s="12"/>
      <c r="N150" s="12"/>
      <c r="O150" s="12"/>
      <c r="P150" s="12"/>
      <c r="Q150" s="12"/>
    </row>
    <row r="151" spans="1:17" s="11" customFormat="1" ht="18" customHeight="1" x14ac:dyDescent="0.2">
      <c r="A151" s="258"/>
      <c r="B151" s="2511" t="s">
        <v>2768</v>
      </c>
      <c r="C151" s="2512"/>
      <c r="D151" s="2517" t="s">
        <v>615</v>
      </c>
      <c r="E151" s="2517"/>
      <c r="F151" s="2517"/>
      <c r="G151" s="2517"/>
      <c r="H151" s="2518">
        <v>9</v>
      </c>
      <c r="I151" s="2518"/>
      <c r="J151" s="12"/>
      <c r="K151" s="12"/>
      <c r="L151" s="12"/>
      <c r="M151" s="12"/>
      <c r="N151" s="12"/>
      <c r="O151" s="12"/>
      <c r="P151" s="12"/>
      <c r="Q151" s="12"/>
    </row>
    <row r="152" spans="1:17" s="11" customFormat="1" ht="18" customHeight="1" x14ac:dyDescent="0.2">
      <c r="A152" s="258"/>
      <c r="B152" s="2511" t="s">
        <v>2769</v>
      </c>
      <c r="C152" s="2512"/>
      <c r="D152" s="2517" t="s">
        <v>616</v>
      </c>
      <c r="E152" s="2517"/>
      <c r="F152" s="2517"/>
      <c r="G152" s="2517"/>
      <c r="H152" s="2518">
        <v>9</v>
      </c>
      <c r="I152" s="2518"/>
      <c r="J152" s="12"/>
      <c r="K152" s="12"/>
      <c r="L152" s="12"/>
      <c r="M152" s="12"/>
      <c r="N152" s="12"/>
      <c r="O152" s="12"/>
      <c r="P152" s="12"/>
      <c r="Q152" s="12"/>
    </row>
    <row r="153" spans="1:17" s="11" customFormat="1" ht="18" customHeight="1" x14ac:dyDescent="0.2">
      <c r="A153" s="258"/>
      <c r="B153" s="2513"/>
      <c r="C153" s="2514"/>
      <c r="D153" s="2517" t="s">
        <v>617</v>
      </c>
      <c r="E153" s="2517"/>
      <c r="F153" s="2517"/>
      <c r="G153" s="2517"/>
      <c r="H153" s="2518">
        <v>13</v>
      </c>
      <c r="I153" s="2518"/>
      <c r="J153" s="12"/>
      <c r="K153" s="12"/>
      <c r="L153" s="12"/>
      <c r="M153" s="12"/>
      <c r="N153" s="12"/>
      <c r="O153" s="12"/>
      <c r="P153" s="12"/>
      <c r="Q153" s="12"/>
    </row>
    <row r="154" spans="1:17" s="11" customFormat="1" ht="18" customHeight="1" x14ac:dyDescent="0.2">
      <c r="A154" s="258"/>
      <c r="B154" s="2515"/>
      <c r="C154" s="2516"/>
      <c r="D154" s="2517" t="s">
        <v>618</v>
      </c>
      <c r="E154" s="2517"/>
      <c r="F154" s="2517"/>
      <c r="G154" s="2517"/>
      <c r="H154" s="2518">
        <v>16</v>
      </c>
      <c r="I154" s="2518"/>
      <c r="J154" s="12"/>
      <c r="K154" s="12"/>
      <c r="L154" s="12"/>
      <c r="M154" s="12"/>
      <c r="N154" s="12"/>
      <c r="O154" s="12"/>
      <c r="P154" s="12"/>
      <c r="Q154" s="12"/>
    </row>
    <row r="155" spans="1:17" s="11" customFormat="1" ht="18" customHeight="1" x14ac:dyDescent="0.2">
      <c r="A155" s="258"/>
      <c r="B155" s="2511" t="s">
        <v>2770</v>
      </c>
      <c r="C155" s="2512"/>
      <c r="D155" s="2517" t="s">
        <v>619</v>
      </c>
      <c r="E155" s="2517"/>
      <c r="F155" s="2517"/>
      <c r="G155" s="2517"/>
      <c r="H155" s="2518">
        <v>14</v>
      </c>
      <c r="I155" s="2518"/>
      <c r="J155" s="12"/>
      <c r="K155" s="12"/>
      <c r="L155" s="12"/>
      <c r="M155" s="12"/>
      <c r="N155" s="12"/>
      <c r="O155" s="12"/>
      <c r="P155" s="12"/>
      <c r="Q155" s="12"/>
    </row>
    <row r="156" spans="1:17" s="11" customFormat="1" ht="18" customHeight="1" x14ac:dyDescent="0.2">
      <c r="A156" s="258"/>
      <c r="B156" s="2513"/>
      <c r="C156" s="2514"/>
      <c r="D156" s="2517" t="s">
        <v>620</v>
      </c>
      <c r="E156" s="2517"/>
      <c r="F156" s="2517"/>
      <c r="G156" s="2517"/>
      <c r="H156" s="2518">
        <v>13</v>
      </c>
      <c r="I156" s="2518"/>
      <c r="J156" s="12"/>
      <c r="K156" s="12"/>
      <c r="L156" s="12"/>
      <c r="M156" s="12"/>
      <c r="N156" s="12"/>
      <c r="O156" s="12"/>
      <c r="P156" s="12"/>
      <c r="Q156" s="12"/>
    </row>
    <row r="157" spans="1:17" s="11" customFormat="1" ht="18" customHeight="1" x14ac:dyDescent="0.2">
      <c r="A157" s="258"/>
      <c r="B157" s="2513"/>
      <c r="C157" s="2514"/>
      <c r="D157" s="2517" t="s">
        <v>621</v>
      </c>
      <c r="E157" s="2517"/>
      <c r="F157" s="2517"/>
      <c r="G157" s="2517"/>
      <c r="H157" s="2518">
        <v>16</v>
      </c>
      <c r="I157" s="2518"/>
      <c r="J157" s="12"/>
      <c r="K157" s="12"/>
      <c r="L157" s="12"/>
      <c r="M157" s="12"/>
      <c r="N157" s="12"/>
      <c r="O157" s="12"/>
      <c r="P157" s="12"/>
      <c r="Q157" s="12"/>
    </row>
    <row r="158" spans="1:17" s="11" customFormat="1" ht="18" customHeight="1" x14ac:dyDescent="0.2">
      <c r="A158" s="258"/>
      <c r="B158" s="2513"/>
      <c r="C158" s="2514"/>
      <c r="D158" s="2517" t="s">
        <v>622</v>
      </c>
      <c r="E158" s="2517"/>
      <c r="F158" s="2517"/>
      <c r="G158" s="2517"/>
      <c r="H158" s="2518">
        <v>8</v>
      </c>
      <c r="I158" s="2518"/>
      <c r="J158" s="12"/>
      <c r="K158" s="12"/>
      <c r="L158" s="12"/>
      <c r="M158" s="12"/>
      <c r="N158" s="12"/>
      <c r="O158" s="12"/>
      <c r="P158" s="12"/>
      <c r="Q158" s="12"/>
    </row>
    <row r="159" spans="1:17" s="11" customFormat="1" ht="18" customHeight="1" x14ac:dyDescent="0.2">
      <c r="A159" s="258"/>
      <c r="B159" s="2513"/>
      <c r="C159" s="2514"/>
      <c r="D159" s="2517" t="s">
        <v>623</v>
      </c>
      <c r="E159" s="2517"/>
      <c r="F159" s="2517"/>
      <c r="G159" s="2517"/>
      <c r="H159" s="2518">
        <v>16</v>
      </c>
      <c r="I159" s="2518"/>
      <c r="J159" s="12"/>
      <c r="K159" s="12"/>
      <c r="L159" s="12"/>
      <c r="M159" s="12"/>
      <c r="N159" s="12"/>
      <c r="O159" s="12"/>
      <c r="P159" s="12"/>
      <c r="Q159" s="12"/>
    </row>
    <row r="160" spans="1:17" s="11" customFormat="1" ht="18" customHeight="1" x14ac:dyDescent="0.2">
      <c r="A160" s="258"/>
      <c r="B160" s="2513"/>
      <c r="C160" s="2514"/>
      <c r="D160" s="2517" t="s">
        <v>624</v>
      </c>
      <c r="E160" s="2517"/>
      <c r="F160" s="2517"/>
      <c r="G160" s="2517"/>
      <c r="H160" s="2518">
        <v>12</v>
      </c>
      <c r="I160" s="2518"/>
      <c r="J160" s="12"/>
      <c r="K160" s="12"/>
      <c r="L160" s="12"/>
      <c r="M160" s="12"/>
      <c r="N160" s="12"/>
      <c r="O160" s="12"/>
      <c r="P160" s="12"/>
      <c r="Q160" s="12"/>
    </row>
    <row r="161" spans="1:17" s="11" customFormat="1" ht="18" customHeight="1" x14ac:dyDescent="0.2">
      <c r="A161" s="258"/>
      <c r="B161" s="2515"/>
      <c r="C161" s="2516"/>
      <c r="D161" s="2517" t="s">
        <v>625</v>
      </c>
      <c r="E161" s="2517"/>
      <c r="F161" s="2517"/>
      <c r="G161" s="2517"/>
      <c r="H161" s="2518">
        <v>10</v>
      </c>
      <c r="I161" s="2518"/>
      <c r="J161" s="12"/>
      <c r="K161" s="12"/>
      <c r="L161" s="12"/>
      <c r="M161" s="12"/>
      <c r="N161" s="12"/>
      <c r="O161" s="12"/>
      <c r="P161" s="12"/>
      <c r="Q161" s="12"/>
    </row>
    <row r="162" spans="1:17" s="11" customFormat="1" ht="18" customHeight="1" x14ac:dyDescent="0.2">
      <c r="A162" s="258"/>
      <c r="B162" s="2511" t="s">
        <v>1919</v>
      </c>
      <c r="C162" s="2512"/>
      <c r="D162" s="2517" t="s">
        <v>643</v>
      </c>
      <c r="E162" s="2517"/>
      <c r="F162" s="2517"/>
      <c r="G162" s="2517"/>
      <c r="H162" s="2518">
        <v>12</v>
      </c>
      <c r="I162" s="2518"/>
      <c r="J162" s="12"/>
      <c r="K162" s="12"/>
      <c r="L162" s="12"/>
      <c r="M162" s="12"/>
      <c r="N162" s="12"/>
      <c r="O162" s="12"/>
      <c r="P162" s="12"/>
      <c r="Q162" s="12"/>
    </row>
    <row r="163" spans="1:17" s="11" customFormat="1" ht="18" customHeight="1" x14ac:dyDescent="0.2">
      <c r="A163" s="258"/>
      <c r="B163" s="2513"/>
      <c r="C163" s="2514"/>
      <c r="D163" s="2517" t="s">
        <v>644</v>
      </c>
      <c r="E163" s="2517"/>
      <c r="F163" s="2517"/>
      <c r="G163" s="2517"/>
      <c r="H163" s="2518">
        <v>12</v>
      </c>
      <c r="I163" s="2518"/>
      <c r="J163" s="12"/>
      <c r="K163" s="12"/>
      <c r="L163" s="12"/>
      <c r="M163" s="12"/>
      <c r="N163" s="12"/>
      <c r="O163" s="12"/>
      <c r="P163" s="12"/>
      <c r="Q163" s="12"/>
    </row>
    <row r="164" spans="1:17" s="11" customFormat="1" ht="18" customHeight="1" x14ac:dyDescent="0.2">
      <c r="A164" s="258"/>
      <c r="B164" s="2513"/>
      <c r="C164" s="2514"/>
      <c r="D164" s="2517" t="s">
        <v>645</v>
      </c>
      <c r="E164" s="2517"/>
      <c r="F164" s="2517"/>
      <c r="G164" s="2517"/>
      <c r="H164" s="2518">
        <v>8</v>
      </c>
      <c r="I164" s="2518"/>
      <c r="J164" s="12"/>
      <c r="K164" s="12"/>
      <c r="L164" s="12"/>
      <c r="M164" s="12"/>
      <c r="N164" s="12"/>
      <c r="O164" s="12"/>
      <c r="P164" s="12"/>
      <c r="Q164" s="12"/>
    </row>
    <row r="165" spans="1:17" s="11" customFormat="1" ht="18" customHeight="1" x14ac:dyDescent="0.2">
      <c r="A165" s="258"/>
      <c r="B165" s="2513"/>
      <c r="C165" s="2514"/>
      <c r="D165" s="2517" t="s">
        <v>646</v>
      </c>
      <c r="E165" s="2517"/>
      <c r="F165" s="2517"/>
      <c r="G165" s="2517"/>
      <c r="H165" s="2518">
        <v>9</v>
      </c>
      <c r="I165" s="2518"/>
      <c r="J165" s="12"/>
      <c r="K165" s="12"/>
      <c r="L165" s="12"/>
      <c r="M165" s="12"/>
      <c r="N165" s="12"/>
      <c r="O165" s="12"/>
      <c r="P165" s="12"/>
      <c r="Q165" s="12"/>
    </row>
    <row r="166" spans="1:17" s="11" customFormat="1" ht="18" customHeight="1" x14ac:dyDescent="0.2">
      <c r="A166" s="258"/>
      <c r="B166" s="2513"/>
      <c r="C166" s="2514"/>
      <c r="D166" s="2517" t="s">
        <v>647</v>
      </c>
      <c r="E166" s="2517"/>
      <c r="F166" s="2517"/>
      <c r="G166" s="2517"/>
      <c r="H166" s="2518">
        <v>15</v>
      </c>
      <c r="I166" s="2518"/>
      <c r="J166" s="12"/>
      <c r="K166" s="12"/>
      <c r="L166" s="12"/>
      <c r="M166" s="12"/>
      <c r="N166" s="12"/>
      <c r="O166" s="12"/>
      <c r="P166" s="12"/>
      <c r="Q166" s="12"/>
    </row>
    <row r="167" spans="1:17" s="11" customFormat="1" ht="18" customHeight="1" x14ac:dyDescent="0.2">
      <c r="A167" s="258"/>
      <c r="B167" s="2513"/>
      <c r="C167" s="2514"/>
      <c r="D167" s="2517" t="s">
        <v>648</v>
      </c>
      <c r="E167" s="2517"/>
      <c r="F167" s="2517"/>
      <c r="G167" s="2517"/>
      <c r="H167" s="2518">
        <v>20</v>
      </c>
      <c r="I167" s="2518"/>
      <c r="J167" s="12"/>
      <c r="K167" s="12"/>
      <c r="L167" s="12"/>
      <c r="M167" s="12"/>
      <c r="N167" s="12"/>
      <c r="O167" s="12"/>
      <c r="P167" s="12"/>
      <c r="Q167" s="12"/>
    </row>
    <row r="168" spans="1:17" s="11" customFormat="1" ht="18" customHeight="1" x14ac:dyDescent="0.2">
      <c r="A168" s="258"/>
      <c r="B168" s="2513"/>
      <c r="C168" s="2514"/>
      <c r="D168" s="2517" t="s">
        <v>649</v>
      </c>
      <c r="E168" s="2517"/>
      <c r="F168" s="2517"/>
      <c r="G168" s="2517"/>
      <c r="H168" s="2518">
        <v>12</v>
      </c>
      <c r="I168" s="2518"/>
      <c r="J168" s="12"/>
      <c r="K168" s="12"/>
      <c r="L168" s="12"/>
      <c r="M168" s="12"/>
      <c r="N168" s="12"/>
      <c r="O168" s="12"/>
      <c r="P168" s="12"/>
      <c r="Q168" s="12"/>
    </row>
    <row r="169" spans="1:17" s="11" customFormat="1" ht="18" customHeight="1" x14ac:dyDescent="0.2">
      <c r="A169" s="258"/>
      <c r="B169" s="2513"/>
      <c r="C169" s="2514"/>
      <c r="D169" s="2517" t="s">
        <v>650</v>
      </c>
      <c r="E169" s="2517"/>
      <c r="F169" s="2517"/>
      <c r="G169" s="2517"/>
      <c r="H169" s="2518">
        <v>14</v>
      </c>
      <c r="I169" s="2518"/>
      <c r="J169" s="12"/>
      <c r="K169" s="12"/>
      <c r="L169" s="12"/>
      <c r="M169" s="12"/>
      <c r="N169" s="12"/>
      <c r="O169" s="12"/>
      <c r="P169" s="12"/>
      <c r="Q169" s="12"/>
    </row>
    <row r="170" spans="1:17" s="11" customFormat="1" ht="18" customHeight="1" x14ac:dyDescent="0.2">
      <c r="A170" s="258"/>
      <c r="B170" s="2515"/>
      <c r="C170" s="2516"/>
      <c r="D170" s="2517" t="s">
        <v>651</v>
      </c>
      <c r="E170" s="2517"/>
      <c r="F170" s="2517"/>
      <c r="G170" s="2517"/>
      <c r="H170" s="2518">
        <v>17</v>
      </c>
      <c r="I170" s="2518"/>
      <c r="J170" s="12"/>
      <c r="K170" s="12"/>
      <c r="L170" s="12"/>
      <c r="M170" s="12"/>
      <c r="N170" s="12"/>
      <c r="O170" s="12"/>
      <c r="P170" s="12"/>
      <c r="Q170" s="12"/>
    </row>
    <row r="171" spans="1:17" s="11" customFormat="1" ht="18" customHeight="1" x14ac:dyDescent="0.2">
      <c r="A171" s="258"/>
      <c r="B171" s="2511" t="s">
        <v>2771</v>
      </c>
      <c r="C171" s="2512"/>
      <c r="D171" s="2517" t="s">
        <v>628</v>
      </c>
      <c r="E171" s="2517"/>
      <c r="F171" s="2517"/>
      <c r="G171" s="2517"/>
      <c r="H171" s="2518">
        <v>12</v>
      </c>
      <c r="I171" s="2518"/>
      <c r="J171" s="12"/>
      <c r="K171" s="12"/>
      <c r="L171" s="12"/>
      <c r="M171" s="12"/>
      <c r="N171" s="12"/>
      <c r="O171" s="12"/>
      <c r="P171" s="12"/>
      <c r="Q171" s="12"/>
    </row>
    <row r="172" spans="1:17" s="11" customFormat="1" ht="18" customHeight="1" x14ac:dyDescent="0.2">
      <c r="A172" s="258"/>
      <c r="B172" s="2513"/>
      <c r="C172" s="2514"/>
      <c r="D172" s="2517" t="s">
        <v>2756</v>
      </c>
      <c r="E172" s="2517"/>
      <c r="F172" s="2517"/>
      <c r="G172" s="2517"/>
      <c r="H172" s="2518">
        <v>12</v>
      </c>
      <c r="I172" s="2518"/>
      <c r="J172" s="12"/>
      <c r="K172" s="12"/>
      <c r="L172" s="12"/>
      <c r="M172" s="12"/>
      <c r="N172" s="12"/>
      <c r="O172" s="12"/>
      <c r="P172" s="12"/>
      <c r="Q172" s="12"/>
    </row>
    <row r="173" spans="1:17" s="11" customFormat="1" ht="18" customHeight="1" x14ac:dyDescent="0.2">
      <c r="A173" s="258"/>
      <c r="B173" s="2513"/>
      <c r="C173" s="2514"/>
      <c r="D173" s="2517" t="s">
        <v>629</v>
      </c>
      <c r="E173" s="2517"/>
      <c r="F173" s="2517"/>
      <c r="G173" s="2517"/>
      <c r="H173" s="2518">
        <v>13</v>
      </c>
      <c r="I173" s="2518"/>
      <c r="J173" s="12"/>
      <c r="K173" s="12"/>
      <c r="L173" s="12"/>
      <c r="M173" s="12"/>
      <c r="N173" s="12"/>
      <c r="O173" s="12"/>
      <c r="P173" s="12"/>
      <c r="Q173" s="12"/>
    </row>
    <row r="174" spans="1:17" s="11" customFormat="1" ht="18" customHeight="1" x14ac:dyDescent="0.2">
      <c r="A174" s="258"/>
      <c r="B174" s="2515"/>
      <c r="C174" s="2516"/>
      <c r="D174" s="2517" t="s">
        <v>630</v>
      </c>
      <c r="E174" s="2517"/>
      <c r="F174" s="2517"/>
      <c r="G174" s="2517"/>
      <c r="H174" s="2518">
        <v>12</v>
      </c>
      <c r="I174" s="2518"/>
      <c r="J174" s="12"/>
      <c r="K174" s="12"/>
      <c r="L174" s="12"/>
      <c r="M174" s="12"/>
      <c r="N174" s="12"/>
      <c r="O174" s="12"/>
      <c r="P174" s="12"/>
      <c r="Q174" s="12"/>
    </row>
    <row r="175" spans="1:17" s="11" customFormat="1" ht="18" customHeight="1" x14ac:dyDescent="0.2">
      <c r="A175" s="258"/>
      <c r="B175" s="2511" t="s">
        <v>2772</v>
      </c>
      <c r="C175" s="2512"/>
      <c r="D175" s="2517" t="s">
        <v>631</v>
      </c>
      <c r="E175" s="2517"/>
      <c r="F175" s="2517"/>
      <c r="G175" s="2517"/>
      <c r="H175" s="2518">
        <v>13</v>
      </c>
      <c r="I175" s="2518"/>
      <c r="J175" s="12"/>
      <c r="K175" s="12"/>
      <c r="L175" s="12"/>
      <c r="M175" s="12"/>
      <c r="N175" s="12"/>
      <c r="O175" s="12"/>
      <c r="P175" s="12"/>
      <c r="Q175" s="12"/>
    </row>
    <row r="176" spans="1:17" s="11" customFormat="1" ht="18" customHeight="1" x14ac:dyDescent="0.2">
      <c r="A176" s="258"/>
      <c r="B176" s="2511" t="s">
        <v>2773</v>
      </c>
      <c r="C176" s="2512"/>
      <c r="D176" s="2517" t="s">
        <v>632</v>
      </c>
      <c r="E176" s="2517"/>
      <c r="F176" s="2517"/>
      <c r="G176" s="2517"/>
      <c r="H176" s="2518">
        <v>15</v>
      </c>
      <c r="I176" s="2518"/>
      <c r="J176" s="12"/>
      <c r="K176" s="12"/>
      <c r="L176" s="12"/>
      <c r="M176" s="12"/>
      <c r="N176" s="12"/>
      <c r="O176" s="12"/>
      <c r="P176" s="12"/>
      <c r="Q176" s="12"/>
    </row>
    <row r="177" spans="1:17" s="11" customFormat="1" ht="18" customHeight="1" x14ac:dyDescent="0.2">
      <c r="A177" s="258"/>
      <c r="B177" s="2513"/>
      <c r="C177" s="2514"/>
      <c r="D177" s="2517" t="s">
        <v>633</v>
      </c>
      <c r="E177" s="2517"/>
      <c r="F177" s="2517"/>
      <c r="G177" s="2517"/>
      <c r="H177" s="2518">
        <v>14</v>
      </c>
      <c r="I177" s="2518"/>
      <c r="J177" s="12"/>
      <c r="K177" s="12"/>
      <c r="L177" s="12"/>
      <c r="M177" s="12"/>
      <c r="N177" s="12"/>
      <c r="O177" s="12"/>
      <c r="P177" s="12"/>
      <c r="Q177" s="12"/>
    </row>
    <row r="178" spans="1:17" s="11" customFormat="1" ht="18" customHeight="1" x14ac:dyDescent="0.2">
      <c r="A178" s="258"/>
      <c r="B178" s="2515"/>
      <c r="C178" s="2516"/>
      <c r="D178" s="2517" t="s">
        <v>634</v>
      </c>
      <c r="E178" s="2517"/>
      <c r="F178" s="2517"/>
      <c r="G178" s="2517"/>
      <c r="H178" s="2518">
        <v>12</v>
      </c>
      <c r="I178" s="2518"/>
      <c r="J178" s="12"/>
      <c r="K178" s="12"/>
      <c r="L178" s="12"/>
      <c r="M178" s="12"/>
      <c r="N178" s="12"/>
      <c r="O178" s="12"/>
      <c r="P178" s="12"/>
      <c r="Q178" s="12"/>
    </row>
    <row r="179" spans="1:17" s="11" customFormat="1" ht="18" customHeight="1" x14ac:dyDescent="0.2">
      <c r="A179" s="258"/>
      <c r="B179" s="2511" t="s">
        <v>2774</v>
      </c>
      <c r="C179" s="2512"/>
      <c r="D179" s="2517" t="s">
        <v>635</v>
      </c>
      <c r="E179" s="2517"/>
      <c r="F179" s="2517"/>
      <c r="G179" s="2517"/>
      <c r="H179" s="2518">
        <v>15</v>
      </c>
      <c r="I179" s="2518"/>
      <c r="J179" s="12"/>
      <c r="K179" s="12"/>
      <c r="L179" s="12"/>
      <c r="M179" s="12"/>
      <c r="N179" s="12"/>
      <c r="O179" s="12"/>
      <c r="P179" s="12"/>
      <c r="Q179" s="12"/>
    </row>
    <row r="180" spans="1:17" s="11" customFormat="1" ht="18" customHeight="1" x14ac:dyDescent="0.2">
      <c r="A180" s="258"/>
      <c r="B180" s="2513"/>
      <c r="C180" s="2514"/>
      <c r="D180" s="2517" t="s">
        <v>636</v>
      </c>
      <c r="E180" s="2517"/>
      <c r="F180" s="2517"/>
      <c r="G180" s="2517"/>
      <c r="H180" s="2518">
        <v>15</v>
      </c>
      <c r="I180" s="2518"/>
      <c r="J180" s="12"/>
      <c r="K180" s="12"/>
      <c r="L180" s="12"/>
      <c r="M180" s="12"/>
      <c r="N180" s="12"/>
      <c r="O180" s="12"/>
      <c r="P180" s="12"/>
      <c r="Q180" s="12"/>
    </row>
    <row r="181" spans="1:17" s="11" customFormat="1" ht="18" customHeight="1" x14ac:dyDescent="0.2">
      <c r="A181" s="258"/>
      <c r="B181" s="2513"/>
      <c r="C181" s="2514"/>
      <c r="D181" s="2517" t="s">
        <v>637</v>
      </c>
      <c r="E181" s="2517"/>
      <c r="F181" s="2517"/>
      <c r="G181" s="2517"/>
      <c r="H181" s="2518">
        <v>14</v>
      </c>
      <c r="I181" s="2518"/>
      <c r="J181" s="12"/>
      <c r="K181" s="12"/>
      <c r="L181" s="12"/>
      <c r="M181" s="12"/>
      <c r="N181" s="12"/>
      <c r="O181" s="12"/>
      <c r="P181" s="12"/>
      <c r="Q181" s="12"/>
    </row>
    <row r="182" spans="1:17" s="11" customFormat="1" ht="18" customHeight="1" x14ac:dyDescent="0.2">
      <c r="A182" s="258"/>
      <c r="B182" s="2513"/>
      <c r="C182" s="2514"/>
      <c r="D182" s="2517" t="s">
        <v>638</v>
      </c>
      <c r="E182" s="2517"/>
      <c r="F182" s="2517"/>
      <c r="G182" s="2517"/>
      <c r="H182" s="2518">
        <v>17</v>
      </c>
      <c r="I182" s="2518"/>
      <c r="J182" s="12"/>
      <c r="K182" s="12"/>
      <c r="L182" s="12"/>
      <c r="M182" s="12"/>
      <c r="N182" s="12"/>
      <c r="O182" s="12"/>
      <c r="P182" s="12"/>
      <c r="Q182" s="12"/>
    </row>
    <row r="183" spans="1:17" s="11" customFormat="1" ht="18" customHeight="1" x14ac:dyDescent="0.2">
      <c r="A183" s="258"/>
      <c r="B183" s="2515"/>
      <c r="C183" s="2516"/>
      <c r="D183" s="2517" t="s">
        <v>639</v>
      </c>
      <c r="E183" s="2517"/>
      <c r="F183" s="2517"/>
      <c r="G183" s="2517"/>
      <c r="H183" s="2518">
        <v>8</v>
      </c>
      <c r="I183" s="2518"/>
      <c r="J183" s="12"/>
      <c r="K183" s="12"/>
      <c r="L183" s="12"/>
      <c r="M183" s="12"/>
      <c r="N183" s="12"/>
      <c r="O183" s="12"/>
      <c r="P183" s="12"/>
      <c r="Q183" s="12"/>
    </row>
    <row r="184" spans="1:17" s="11" customFormat="1" ht="18" customHeight="1" x14ac:dyDescent="0.2">
      <c r="A184" s="258"/>
      <c r="B184" s="2511" t="s">
        <v>626</v>
      </c>
      <c r="C184" s="2512"/>
      <c r="D184" s="2517" t="s">
        <v>626</v>
      </c>
      <c r="E184" s="2517"/>
      <c r="F184" s="2517"/>
      <c r="G184" s="2517"/>
      <c r="H184" s="2518">
        <v>14</v>
      </c>
      <c r="I184" s="2518"/>
      <c r="J184" s="12"/>
      <c r="K184" s="12"/>
      <c r="L184" s="12"/>
      <c r="M184" s="12"/>
      <c r="N184" s="12"/>
      <c r="O184" s="12"/>
      <c r="P184" s="12"/>
      <c r="Q184" s="12"/>
    </row>
    <row r="185" spans="1:17" s="11" customFormat="1" ht="18" customHeight="1" x14ac:dyDescent="0.2">
      <c r="A185" s="258"/>
      <c r="B185" s="2511" t="s">
        <v>640</v>
      </c>
      <c r="C185" s="2512"/>
      <c r="D185" s="2517" t="s">
        <v>640</v>
      </c>
      <c r="E185" s="2517"/>
      <c r="F185" s="2517"/>
      <c r="G185" s="2517"/>
      <c r="H185" s="2518">
        <v>12</v>
      </c>
      <c r="I185" s="2518"/>
      <c r="J185" s="12"/>
      <c r="K185" s="12"/>
      <c r="L185" s="12"/>
      <c r="M185" s="12"/>
      <c r="N185" s="12"/>
      <c r="O185" s="12"/>
      <c r="P185" s="12"/>
      <c r="Q185" s="12"/>
    </row>
    <row r="186" spans="1:17" s="11" customFormat="1" ht="18" customHeight="1" x14ac:dyDescent="0.2">
      <c r="A186" s="258"/>
      <c r="B186" s="2511" t="s">
        <v>2775</v>
      </c>
      <c r="C186" s="2512"/>
      <c r="D186" s="2517" t="s">
        <v>641</v>
      </c>
      <c r="E186" s="2517"/>
      <c r="F186" s="2517"/>
      <c r="G186" s="2517"/>
      <c r="H186" s="2518">
        <v>13</v>
      </c>
      <c r="I186" s="2518"/>
      <c r="J186" s="12"/>
      <c r="K186" s="12"/>
      <c r="L186" s="12"/>
      <c r="M186" s="12"/>
      <c r="N186" s="12"/>
      <c r="O186" s="12"/>
      <c r="P186" s="12"/>
      <c r="Q186" s="12"/>
    </row>
    <row r="187" spans="1:17" s="11" customFormat="1" ht="18" customHeight="1" x14ac:dyDescent="0.2">
      <c r="A187" s="258"/>
      <c r="B187" s="2515"/>
      <c r="C187" s="2516"/>
      <c r="D187" s="2517" t="s">
        <v>642</v>
      </c>
      <c r="E187" s="2517"/>
      <c r="F187" s="2517"/>
      <c r="G187" s="2517"/>
      <c r="H187" s="2518">
        <v>13</v>
      </c>
      <c r="I187" s="2518"/>
      <c r="J187" s="12"/>
      <c r="K187" s="12"/>
      <c r="L187" s="12"/>
      <c r="M187" s="12"/>
      <c r="N187" s="12"/>
      <c r="O187" s="12"/>
      <c r="P187" s="12"/>
      <c r="Q187" s="12"/>
    </row>
    <row r="188" spans="1:17" s="11" customFormat="1" ht="18" customHeight="1" x14ac:dyDescent="0.2">
      <c r="A188" s="258"/>
      <c r="B188" s="2511" t="s">
        <v>2776</v>
      </c>
      <c r="C188" s="2512"/>
      <c r="D188" s="2517" t="s">
        <v>2757</v>
      </c>
      <c r="E188" s="2517"/>
      <c r="F188" s="2517"/>
      <c r="G188" s="2517"/>
      <c r="H188" s="2518">
        <v>14</v>
      </c>
      <c r="I188" s="2518"/>
      <c r="J188" s="12"/>
      <c r="K188" s="12"/>
      <c r="L188" s="12"/>
      <c r="M188" s="12"/>
      <c r="N188" s="12"/>
      <c r="O188" s="12"/>
      <c r="P188" s="12"/>
      <c r="Q188" s="12"/>
    </row>
    <row r="189" spans="1:17" s="11" customFormat="1" ht="18" customHeight="1" x14ac:dyDescent="0.2">
      <c r="A189" s="258"/>
      <c r="B189" s="2511" t="s">
        <v>2777</v>
      </c>
      <c r="C189" s="2512"/>
      <c r="D189" s="2517" t="s">
        <v>2758</v>
      </c>
      <c r="E189" s="2517"/>
      <c r="F189" s="2517"/>
      <c r="G189" s="2517"/>
      <c r="H189" s="2518">
        <v>13</v>
      </c>
      <c r="I189" s="2518"/>
      <c r="J189" s="12"/>
      <c r="K189" s="12"/>
      <c r="L189" s="12"/>
      <c r="M189" s="12"/>
      <c r="N189" s="12"/>
      <c r="O189" s="12"/>
      <c r="P189" s="12"/>
      <c r="Q189" s="12"/>
    </row>
    <row r="190" spans="1:17" s="11" customFormat="1" ht="18" customHeight="1" x14ac:dyDescent="0.2">
      <c r="A190" s="258"/>
      <c r="B190" s="2513"/>
      <c r="C190" s="2514"/>
      <c r="D190" s="2517" t="s">
        <v>2759</v>
      </c>
      <c r="E190" s="2517"/>
      <c r="F190" s="2517"/>
      <c r="G190" s="2517"/>
      <c r="H190" s="2518">
        <v>15</v>
      </c>
      <c r="I190" s="2518"/>
      <c r="J190" s="12"/>
      <c r="K190" s="12"/>
      <c r="L190" s="12"/>
      <c r="M190" s="12"/>
      <c r="N190" s="12"/>
      <c r="O190" s="12"/>
      <c r="P190" s="12"/>
      <c r="Q190" s="12"/>
    </row>
    <row r="191" spans="1:17" s="11" customFormat="1" ht="18" customHeight="1" x14ac:dyDescent="0.2">
      <c r="A191" s="258"/>
      <c r="B191" s="2513"/>
      <c r="C191" s="2514"/>
      <c r="D191" s="2517" t="s">
        <v>2760</v>
      </c>
      <c r="E191" s="2517"/>
      <c r="F191" s="2517"/>
      <c r="G191" s="2517"/>
      <c r="H191" s="2518">
        <v>16</v>
      </c>
      <c r="I191" s="2518"/>
      <c r="J191" s="12"/>
      <c r="K191" s="12"/>
      <c r="L191" s="12"/>
      <c r="M191" s="12"/>
      <c r="N191" s="12"/>
      <c r="O191" s="12"/>
      <c r="P191" s="12"/>
      <c r="Q191" s="12"/>
    </row>
    <row r="192" spans="1:17" s="11" customFormat="1" ht="18" customHeight="1" x14ac:dyDescent="0.2">
      <c r="A192" s="258"/>
      <c r="B192" s="2513"/>
      <c r="C192" s="2514"/>
      <c r="D192" s="2517" t="s">
        <v>2761</v>
      </c>
      <c r="E192" s="2517"/>
      <c r="F192" s="2517"/>
      <c r="G192" s="2517"/>
      <c r="H192" s="2518">
        <v>11</v>
      </c>
      <c r="I192" s="2518"/>
      <c r="J192" s="12"/>
      <c r="K192" s="12"/>
      <c r="L192" s="12"/>
      <c r="M192" s="12"/>
      <c r="N192" s="12"/>
      <c r="O192" s="12"/>
      <c r="P192" s="12"/>
      <c r="Q192" s="12"/>
    </row>
    <row r="193" spans="1:17" s="11" customFormat="1" ht="18" customHeight="1" x14ac:dyDescent="0.2">
      <c r="A193" s="258"/>
      <c r="B193" s="2515"/>
      <c r="C193" s="2516"/>
      <c r="D193" s="2517" t="s">
        <v>2762</v>
      </c>
      <c r="E193" s="2517"/>
      <c r="F193" s="2517"/>
      <c r="G193" s="2517"/>
      <c r="H193" s="2518">
        <v>5</v>
      </c>
      <c r="I193" s="2518"/>
      <c r="J193" s="12"/>
      <c r="K193" s="12"/>
      <c r="L193" s="12"/>
      <c r="M193" s="12"/>
      <c r="N193" s="12"/>
      <c r="O193" s="12"/>
      <c r="P193" s="12"/>
      <c r="Q193" s="12"/>
    </row>
    <row r="194" spans="1:17" s="11" customFormat="1" ht="18" customHeight="1" x14ac:dyDescent="0.2">
      <c r="A194" s="258"/>
      <c r="B194" s="2511" t="s">
        <v>2778</v>
      </c>
      <c r="C194" s="2512"/>
      <c r="D194" s="2517" t="s">
        <v>2763</v>
      </c>
      <c r="E194" s="2517"/>
      <c r="F194" s="2517"/>
      <c r="G194" s="2517"/>
      <c r="H194" s="2518">
        <v>2</v>
      </c>
      <c r="I194" s="2518"/>
      <c r="J194" s="12"/>
      <c r="K194" s="12"/>
      <c r="L194" s="12"/>
      <c r="M194" s="12"/>
      <c r="N194" s="12"/>
      <c r="O194" s="12"/>
      <c r="P194" s="12"/>
      <c r="Q194" s="12"/>
    </row>
    <row r="195" spans="1:17" s="11" customFormat="1" ht="18" customHeight="1" x14ac:dyDescent="0.2">
      <c r="A195" s="258"/>
      <c r="B195" s="2511" t="s">
        <v>2779</v>
      </c>
      <c r="C195" s="2512"/>
      <c r="D195" s="2517" t="s">
        <v>2764</v>
      </c>
      <c r="E195" s="2517"/>
      <c r="F195" s="2517"/>
      <c r="G195" s="2517"/>
      <c r="H195" s="2518">
        <v>14</v>
      </c>
      <c r="I195" s="2518"/>
      <c r="J195" s="12"/>
      <c r="K195" s="12"/>
      <c r="L195" s="12"/>
      <c r="M195" s="12"/>
      <c r="N195" s="12"/>
      <c r="O195" s="12"/>
      <c r="P195" s="12"/>
      <c r="Q195" s="12"/>
    </row>
    <row r="196" spans="1:17" s="11" customFormat="1" ht="18" customHeight="1" x14ac:dyDescent="0.2">
      <c r="A196" s="258"/>
      <c r="B196" s="2511" t="s">
        <v>2780</v>
      </c>
      <c r="C196" s="2512"/>
      <c r="D196" s="2517" t="s">
        <v>2765</v>
      </c>
      <c r="E196" s="2517"/>
      <c r="F196" s="2517"/>
      <c r="G196" s="2517"/>
      <c r="H196" s="2518">
        <v>10</v>
      </c>
      <c r="I196" s="2518"/>
      <c r="J196" s="12"/>
      <c r="K196" s="12"/>
      <c r="L196" s="12"/>
      <c r="M196" s="12"/>
      <c r="N196" s="12"/>
      <c r="O196" s="12"/>
      <c r="P196" s="12"/>
      <c r="Q196" s="12"/>
    </row>
    <row r="197" spans="1:17" s="11" customFormat="1" ht="18" customHeight="1" x14ac:dyDescent="0.2">
      <c r="A197" s="258"/>
      <c r="B197" s="2511" t="s">
        <v>2781</v>
      </c>
      <c r="C197" s="2512"/>
      <c r="D197" s="2517" t="s">
        <v>2766</v>
      </c>
      <c r="E197" s="2517"/>
      <c r="F197" s="2517"/>
      <c r="G197" s="2517"/>
      <c r="H197" s="2518">
        <v>14</v>
      </c>
      <c r="I197" s="2518"/>
      <c r="J197" s="12"/>
      <c r="K197" s="12"/>
      <c r="L197" s="12"/>
      <c r="M197" s="12"/>
      <c r="N197" s="12"/>
      <c r="O197" s="12"/>
      <c r="P197" s="12"/>
      <c r="Q197" s="12"/>
    </row>
    <row r="198" spans="1:17" s="11" customFormat="1" ht="18" customHeight="1" x14ac:dyDescent="0.2">
      <c r="A198" s="258"/>
      <c r="B198" s="2513"/>
      <c r="C198" s="2514"/>
      <c r="D198" s="2517" t="s">
        <v>2767</v>
      </c>
      <c r="E198" s="2517"/>
      <c r="F198" s="2517"/>
      <c r="G198" s="2517"/>
      <c r="H198" s="2518">
        <v>9</v>
      </c>
      <c r="I198" s="2518"/>
      <c r="J198" s="12"/>
      <c r="K198" s="12"/>
      <c r="L198" s="12"/>
      <c r="M198" s="12"/>
      <c r="N198" s="12"/>
      <c r="O198" s="12"/>
      <c r="P198" s="12"/>
      <c r="Q198" s="12"/>
    </row>
    <row r="199" spans="1:17" s="11" customFormat="1" ht="14.25" x14ac:dyDescent="0.2">
      <c r="A199" s="258"/>
      <c r="B199" s="258"/>
      <c r="C199" s="258"/>
      <c r="D199" s="258"/>
      <c r="E199" s="258"/>
      <c r="F199" s="258"/>
      <c r="G199" s="258"/>
      <c r="H199" s="12"/>
      <c r="I199" s="12"/>
      <c r="J199" s="12"/>
      <c r="K199" s="12"/>
      <c r="L199" s="12"/>
      <c r="M199" s="12"/>
      <c r="N199" s="12"/>
      <c r="O199" s="12"/>
      <c r="P199" s="12"/>
      <c r="Q199" s="12"/>
    </row>
    <row r="200" spans="1:17" s="11" customFormat="1" ht="14.25" x14ac:dyDescent="0.2">
      <c r="A200" s="224"/>
      <c r="B200" s="224"/>
      <c r="C200" s="224"/>
      <c r="D200" s="224"/>
      <c r="E200" s="224"/>
      <c r="F200" s="224"/>
      <c r="G200" s="224"/>
      <c r="H200" s="224"/>
      <c r="I200" s="224"/>
      <c r="J200" s="224"/>
      <c r="K200" s="224"/>
      <c r="L200" s="224"/>
      <c r="M200" s="224"/>
      <c r="N200" s="224"/>
      <c r="O200" s="224"/>
      <c r="P200" s="224"/>
      <c r="Q200" s="224"/>
    </row>
    <row r="201" spans="1:17" s="11" customFormat="1" ht="21.75" customHeight="1" x14ac:dyDescent="0.2">
      <c r="A201" s="2520" t="s">
        <v>2314</v>
      </c>
      <c r="B201" s="2520"/>
      <c r="C201" s="2520"/>
      <c r="D201" s="2520"/>
      <c r="E201" s="2520"/>
      <c r="F201" s="2520"/>
      <c r="G201" s="2520"/>
      <c r="H201" s="2520"/>
      <c r="I201" s="2520"/>
      <c r="J201" s="2520"/>
      <c r="K201" s="13"/>
      <c r="L201" s="13"/>
      <c r="M201" s="13"/>
      <c r="N201" s="13"/>
      <c r="O201" s="13"/>
      <c r="P201" s="13"/>
      <c r="Q201" s="13"/>
    </row>
    <row r="202" spans="1:17" s="11" customFormat="1" ht="18" customHeight="1" x14ac:dyDescent="0.2">
      <c r="A202" s="258"/>
      <c r="B202" s="258"/>
      <c r="C202" s="258"/>
      <c r="D202" s="258"/>
      <c r="E202" s="258"/>
      <c r="F202" s="258"/>
      <c r="G202" s="258"/>
      <c r="H202" s="12"/>
      <c r="I202" s="12"/>
      <c r="J202" s="12"/>
      <c r="K202" s="12"/>
      <c r="L202" s="12"/>
      <c r="M202" s="12"/>
      <c r="N202" s="12"/>
      <c r="O202" s="12"/>
      <c r="P202" s="12"/>
      <c r="Q202" s="12"/>
    </row>
    <row r="203" spans="1:17" s="11" customFormat="1" ht="18" customHeight="1" x14ac:dyDescent="0.2">
      <c r="A203" s="258"/>
      <c r="B203" s="2533" t="s">
        <v>2315</v>
      </c>
      <c r="C203" s="2533"/>
      <c r="D203" s="2533"/>
      <c r="E203" s="2533"/>
      <c r="F203" s="2533"/>
      <c r="G203" s="2533"/>
      <c r="H203" s="2533"/>
      <c r="I203" s="2533"/>
      <c r="J203" s="2533"/>
      <c r="K203" s="2533"/>
      <c r="L203" s="2533"/>
      <c r="M203" s="2533"/>
      <c r="N203" s="12"/>
      <c r="O203" s="12"/>
      <c r="P203" s="12"/>
      <c r="Q203" s="12"/>
    </row>
    <row r="204" spans="1:17" s="11" customFormat="1" ht="14.25" x14ac:dyDescent="0.2">
      <c r="A204" s="258"/>
      <c r="B204" s="2533" t="s">
        <v>2316</v>
      </c>
      <c r="C204" s="2533"/>
      <c r="D204" s="2533"/>
      <c r="E204" s="2533"/>
      <c r="F204" s="2533"/>
      <c r="G204" s="2533"/>
      <c r="H204" s="2533"/>
      <c r="I204" s="2533"/>
      <c r="J204" s="2533"/>
      <c r="K204" s="2533"/>
      <c r="L204" s="2533"/>
      <c r="M204" s="2533"/>
      <c r="N204" s="12"/>
      <c r="O204" s="12"/>
      <c r="P204" s="12"/>
      <c r="Q204" s="12"/>
    </row>
    <row r="205" spans="1:17" s="11" customFormat="1" ht="6" customHeight="1" x14ac:dyDescent="0.2">
      <c r="A205" s="258"/>
      <c r="B205" s="1234"/>
      <c r="C205" s="1234"/>
      <c r="D205" s="1234"/>
      <c r="E205" s="1234"/>
      <c r="F205" s="1234"/>
      <c r="G205" s="1234"/>
      <c r="H205" s="1234"/>
      <c r="I205" s="1234"/>
      <c r="J205" s="1234"/>
      <c r="K205" s="1234"/>
      <c r="L205" s="1234"/>
      <c r="M205" s="1234"/>
      <c r="N205" s="12"/>
      <c r="O205" s="12"/>
      <c r="P205" s="12"/>
      <c r="Q205" s="12"/>
    </row>
    <row r="206" spans="1:17" s="11" customFormat="1" ht="24.75" customHeight="1" x14ac:dyDescent="0.2">
      <c r="A206" s="258"/>
      <c r="B206" s="2542" t="s">
        <v>924</v>
      </c>
      <c r="C206" s="2534"/>
      <c r="D206" s="2534"/>
      <c r="E206" s="1313" t="s">
        <v>2317</v>
      </c>
      <c r="F206" s="2534" t="s">
        <v>2318</v>
      </c>
      <c r="G206" s="2535"/>
      <c r="H206" s="1234"/>
      <c r="I206" s="1234"/>
      <c r="J206" s="1234"/>
      <c r="K206" s="1234"/>
      <c r="L206" s="1234"/>
      <c r="M206" s="1234"/>
      <c r="N206" s="12"/>
      <c r="O206" s="12"/>
      <c r="P206" s="12"/>
      <c r="Q206" s="12"/>
    </row>
    <row r="207" spans="1:17" s="11" customFormat="1" ht="18" customHeight="1" x14ac:dyDescent="0.2">
      <c r="A207" s="258"/>
      <c r="B207" s="2525" t="s">
        <v>2319</v>
      </c>
      <c r="C207" s="2526"/>
      <c r="D207" s="2526"/>
      <c r="E207" s="2526"/>
      <c r="F207" s="2526"/>
      <c r="G207" s="2527"/>
      <c r="H207" s="1234"/>
      <c r="I207" s="1234"/>
      <c r="J207" s="1234"/>
      <c r="K207" s="1234"/>
      <c r="L207" s="1234"/>
      <c r="M207" s="1234"/>
      <c r="N207" s="12"/>
      <c r="O207" s="12"/>
      <c r="P207" s="12"/>
      <c r="Q207" s="12"/>
    </row>
    <row r="208" spans="1:17" s="11" customFormat="1" ht="25.5" customHeight="1" x14ac:dyDescent="0.2">
      <c r="A208" s="258"/>
      <c r="B208" s="2528" t="s">
        <v>2320</v>
      </c>
      <c r="C208" s="2529"/>
      <c r="D208" s="2529"/>
      <c r="E208" s="2529"/>
      <c r="F208" s="2529"/>
      <c r="G208" s="2530"/>
      <c r="H208" s="1234"/>
      <c r="I208" s="1234"/>
      <c r="J208" s="1234"/>
      <c r="K208" s="1234"/>
      <c r="L208" s="1234"/>
      <c r="M208" s="1234"/>
      <c r="N208" s="12"/>
      <c r="O208" s="12"/>
      <c r="P208" s="12"/>
      <c r="Q208" s="12"/>
    </row>
    <row r="209" spans="1:17" s="11" customFormat="1" ht="14.25" customHeight="1" x14ac:dyDescent="0.2">
      <c r="A209" s="258"/>
      <c r="B209" s="2536" t="s">
        <v>2321</v>
      </c>
      <c r="C209" s="2537"/>
      <c r="D209" s="2538"/>
      <c r="E209" s="1314" t="s">
        <v>2737</v>
      </c>
      <c r="F209" s="2531">
        <v>45</v>
      </c>
      <c r="G209" s="2532"/>
      <c r="H209" s="1234"/>
      <c r="I209" s="1234"/>
      <c r="J209" s="1234"/>
      <c r="K209" s="1234"/>
      <c r="L209" s="1234"/>
      <c r="M209" s="1234"/>
      <c r="N209" s="12"/>
      <c r="O209" s="12"/>
      <c r="P209" s="12"/>
      <c r="Q209" s="12"/>
    </row>
    <row r="210" spans="1:17" s="11" customFormat="1" ht="18" customHeight="1" x14ac:dyDescent="0.2">
      <c r="A210" s="258"/>
      <c r="B210" s="2539"/>
      <c r="C210" s="2540"/>
      <c r="D210" s="2541"/>
      <c r="E210" s="1315" t="s">
        <v>2736</v>
      </c>
      <c r="F210" s="2531">
        <v>35</v>
      </c>
      <c r="G210" s="2532"/>
      <c r="H210" s="1234"/>
      <c r="I210" s="1234"/>
      <c r="J210" s="1234"/>
      <c r="K210" s="1234"/>
      <c r="L210" s="1234"/>
      <c r="M210" s="1234"/>
      <c r="N210" s="12"/>
      <c r="O210" s="12"/>
      <c r="P210" s="12"/>
      <c r="Q210" s="12"/>
    </row>
    <row r="211" spans="1:17" s="11" customFormat="1" ht="18" customHeight="1" x14ac:dyDescent="0.2">
      <c r="A211" s="258"/>
      <c r="B211" s="2528" t="s">
        <v>2322</v>
      </c>
      <c r="C211" s="2529"/>
      <c r="D211" s="2530"/>
      <c r="E211" s="1302" t="s">
        <v>1515</v>
      </c>
      <c r="F211" s="2531">
        <v>50</v>
      </c>
      <c r="G211" s="2532"/>
      <c r="H211" s="1234"/>
      <c r="I211" s="1234"/>
      <c r="J211" s="1234"/>
      <c r="K211" s="1234"/>
      <c r="L211" s="1234"/>
      <c r="M211" s="1234"/>
      <c r="N211" s="12"/>
      <c r="O211" s="12"/>
      <c r="P211" s="12"/>
      <c r="Q211" s="12"/>
    </row>
    <row r="212" spans="1:17" s="11" customFormat="1" ht="18" customHeight="1" x14ac:dyDescent="0.2">
      <c r="A212" s="258"/>
      <c r="B212" s="2528" t="s">
        <v>2323</v>
      </c>
      <c r="C212" s="2529"/>
      <c r="D212" s="2530"/>
      <c r="E212" s="1302" t="s">
        <v>1515</v>
      </c>
      <c r="F212" s="2531">
        <v>55</v>
      </c>
      <c r="G212" s="2532"/>
      <c r="H212" s="1234"/>
      <c r="I212" s="1234"/>
      <c r="J212" s="1234"/>
      <c r="K212" s="1234"/>
      <c r="L212" s="1234"/>
      <c r="M212" s="1234"/>
      <c r="N212" s="12"/>
      <c r="O212" s="12"/>
      <c r="P212" s="12"/>
      <c r="Q212" s="12"/>
    </row>
    <row r="213" spans="1:17" s="11" customFormat="1" ht="18" customHeight="1" x14ac:dyDescent="0.2">
      <c r="A213" s="258"/>
      <c r="B213" s="2528" t="s">
        <v>2324</v>
      </c>
      <c r="C213" s="2529"/>
      <c r="D213" s="2530"/>
      <c r="E213" s="1302" t="s">
        <v>1515</v>
      </c>
      <c r="F213" s="2531">
        <v>60</v>
      </c>
      <c r="G213" s="2532"/>
      <c r="H213" s="1234"/>
      <c r="I213" s="1234"/>
      <c r="J213" s="1234"/>
      <c r="K213" s="1234"/>
      <c r="L213" s="1234"/>
      <c r="M213" s="1234"/>
      <c r="N213" s="12"/>
      <c r="O213" s="12"/>
      <c r="P213" s="12"/>
      <c r="Q213" s="12"/>
    </row>
    <row r="214" spans="1:17" s="11" customFormat="1" ht="34.5" customHeight="1" x14ac:dyDescent="0.2">
      <c r="A214" s="258"/>
      <c r="B214" s="2528" t="s">
        <v>2325</v>
      </c>
      <c r="C214" s="2529"/>
      <c r="D214" s="2529"/>
      <c r="E214" s="2529"/>
      <c r="F214" s="2529"/>
      <c r="G214" s="2530"/>
      <c r="H214" s="1234"/>
      <c r="I214" s="1234"/>
      <c r="J214" s="1234"/>
      <c r="K214" s="1234"/>
      <c r="L214" s="1234"/>
      <c r="M214" s="1234"/>
      <c r="N214" s="12"/>
      <c r="O214" s="12"/>
      <c r="P214" s="12"/>
      <c r="Q214" s="12"/>
    </row>
    <row r="215" spans="1:17" s="11" customFormat="1" ht="18" customHeight="1" x14ac:dyDescent="0.2">
      <c r="A215" s="258"/>
      <c r="B215" s="2528" t="s">
        <v>2326</v>
      </c>
      <c r="C215" s="2529"/>
      <c r="D215" s="2530"/>
      <c r="E215" s="1302" t="s">
        <v>1515</v>
      </c>
      <c r="F215" s="2531">
        <v>45</v>
      </c>
      <c r="G215" s="2532"/>
      <c r="H215" s="1234"/>
      <c r="I215" s="1234"/>
      <c r="J215" s="1234"/>
      <c r="K215" s="1234"/>
      <c r="L215" s="1234"/>
      <c r="M215" s="1234"/>
      <c r="N215" s="12"/>
      <c r="O215" s="12"/>
      <c r="P215" s="12"/>
      <c r="Q215" s="12"/>
    </row>
    <row r="216" spans="1:17" s="11" customFormat="1" ht="18" customHeight="1" x14ac:dyDescent="0.2">
      <c r="A216" s="258"/>
      <c r="B216" s="2528" t="s">
        <v>2327</v>
      </c>
      <c r="C216" s="2529"/>
      <c r="D216" s="2530"/>
      <c r="E216" s="1302" t="s">
        <v>1515</v>
      </c>
      <c r="F216" s="2531">
        <v>50</v>
      </c>
      <c r="G216" s="2532"/>
      <c r="H216" s="1234"/>
      <c r="I216" s="1234"/>
      <c r="J216" s="1234"/>
      <c r="K216" s="1234"/>
      <c r="L216" s="1234"/>
      <c r="M216" s="1234"/>
      <c r="N216" s="12"/>
      <c r="O216" s="12"/>
      <c r="P216" s="12"/>
      <c r="Q216" s="12"/>
    </row>
    <row r="217" spans="1:17" s="11" customFormat="1" ht="18" customHeight="1" x14ac:dyDescent="0.2">
      <c r="A217" s="258"/>
      <c r="B217" s="2528" t="s">
        <v>2328</v>
      </c>
      <c r="C217" s="2529"/>
      <c r="D217" s="2530"/>
      <c r="E217" s="1302" t="s">
        <v>1515</v>
      </c>
      <c r="F217" s="2531">
        <v>50</v>
      </c>
      <c r="G217" s="2532"/>
      <c r="H217" s="1234"/>
      <c r="I217" s="1234"/>
      <c r="J217" s="1234"/>
      <c r="K217" s="1234"/>
      <c r="L217" s="1234"/>
      <c r="M217" s="1234"/>
      <c r="N217" s="12"/>
      <c r="O217" s="12"/>
      <c r="P217" s="12"/>
      <c r="Q217" s="12"/>
    </row>
    <row r="218" spans="1:17" s="11" customFormat="1" ht="18" customHeight="1" x14ac:dyDescent="0.2">
      <c r="A218" s="258"/>
      <c r="B218" s="2528" t="s">
        <v>2329</v>
      </c>
      <c r="C218" s="2529"/>
      <c r="D218" s="2530"/>
      <c r="E218" s="1302" t="s">
        <v>1515</v>
      </c>
      <c r="F218" s="2531">
        <v>50</v>
      </c>
      <c r="G218" s="2532"/>
      <c r="H218" s="1234"/>
      <c r="I218" s="1234"/>
      <c r="J218" s="1234"/>
      <c r="K218" s="1234"/>
      <c r="L218" s="1234"/>
      <c r="M218" s="1234"/>
      <c r="N218" s="12"/>
      <c r="O218" s="12"/>
      <c r="P218" s="12"/>
      <c r="Q218" s="12"/>
    </row>
    <row r="219" spans="1:17" s="11" customFormat="1" ht="18" customHeight="1" x14ac:dyDescent="0.2">
      <c r="A219" s="258"/>
      <c r="B219" s="2528" t="s">
        <v>2330</v>
      </c>
      <c r="C219" s="2529"/>
      <c r="D219" s="2530"/>
      <c r="E219" s="1302" t="s">
        <v>1515</v>
      </c>
      <c r="F219" s="2531">
        <v>55</v>
      </c>
      <c r="G219" s="2532"/>
      <c r="H219" s="1234"/>
      <c r="I219" s="1234"/>
      <c r="J219" s="1234"/>
      <c r="K219" s="1234"/>
      <c r="L219" s="1234"/>
      <c r="M219" s="1234"/>
      <c r="N219" s="12"/>
      <c r="O219" s="12"/>
      <c r="P219" s="12"/>
      <c r="Q219" s="12"/>
    </row>
    <row r="220" spans="1:17" s="11" customFormat="1" ht="18" customHeight="1" x14ac:dyDescent="0.2">
      <c r="A220" s="258"/>
      <c r="B220" s="2525" t="s">
        <v>627</v>
      </c>
      <c r="C220" s="2526"/>
      <c r="D220" s="2526"/>
      <c r="E220" s="2526"/>
      <c r="F220" s="2526"/>
      <c r="G220" s="2527"/>
      <c r="H220" s="1234"/>
      <c r="I220" s="1234"/>
      <c r="J220" s="1234"/>
      <c r="K220" s="1234"/>
      <c r="L220" s="1234"/>
      <c r="M220" s="1234"/>
      <c r="N220" s="12"/>
      <c r="O220" s="12"/>
      <c r="P220" s="12"/>
      <c r="Q220" s="12"/>
    </row>
    <row r="221" spans="1:17" s="11" customFormat="1" ht="18" customHeight="1" x14ac:dyDescent="0.2">
      <c r="A221" s="258"/>
      <c r="B221" s="2528" t="s">
        <v>2735</v>
      </c>
      <c r="C221" s="2529"/>
      <c r="D221" s="2529"/>
      <c r="E221" s="2529"/>
      <c r="F221" s="2529"/>
      <c r="G221" s="2530"/>
      <c r="H221" s="1305"/>
      <c r="I221" s="1305"/>
      <c r="J221" s="1305"/>
      <c r="K221" s="1305"/>
      <c r="L221" s="1305"/>
      <c r="M221" s="1305"/>
      <c r="N221" s="12"/>
      <c r="O221" s="12"/>
      <c r="P221" s="12"/>
      <c r="Q221" s="12"/>
    </row>
    <row r="222" spans="1:17" s="11" customFormat="1" ht="25.5" customHeight="1" x14ac:dyDescent="0.2">
      <c r="A222" s="258"/>
      <c r="B222" s="2528" t="s">
        <v>2738</v>
      </c>
      <c r="C222" s="2529"/>
      <c r="D222" s="2530"/>
      <c r="E222" s="1302" t="s">
        <v>1515</v>
      </c>
      <c r="F222" s="2531">
        <v>50</v>
      </c>
      <c r="G222" s="2532"/>
      <c r="H222" s="1305"/>
      <c r="I222" s="1305"/>
      <c r="J222" s="1305"/>
      <c r="K222" s="1305"/>
      <c r="L222" s="1305"/>
      <c r="M222" s="1305"/>
      <c r="N222" s="12"/>
      <c r="O222" s="12"/>
      <c r="P222" s="12"/>
      <c r="Q222" s="12"/>
    </row>
    <row r="223" spans="1:17" s="11" customFormat="1" ht="18" customHeight="1" x14ac:dyDescent="0.2">
      <c r="A223" s="258"/>
      <c r="B223" s="2528" t="s">
        <v>2739</v>
      </c>
      <c r="C223" s="2529"/>
      <c r="D223" s="2530"/>
      <c r="E223" s="1302" t="s">
        <v>1515</v>
      </c>
      <c r="F223" s="2531">
        <v>50</v>
      </c>
      <c r="G223" s="2532"/>
      <c r="H223" s="1305"/>
      <c r="I223" s="1305"/>
      <c r="J223" s="1305"/>
      <c r="K223" s="1305"/>
      <c r="L223" s="1305"/>
      <c r="M223" s="1305"/>
      <c r="N223" s="12"/>
      <c r="O223" s="12"/>
      <c r="P223" s="12"/>
      <c r="Q223" s="12"/>
    </row>
    <row r="224" spans="1:17" s="11" customFormat="1" ht="18" customHeight="1" x14ac:dyDescent="0.2">
      <c r="A224" s="258"/>
      <c r="B224" s="2528" t="s">
        <v>2742</v>
      </c>
      <c r="C224" s="2529"/>
      <c r="D224" s="2529"/>
      <c r="E224" s="2529"/>
      <c r="F224" s="2529"/>
      <c r="G224" s="2530"/>
      <c r="H224" s="1305"/>
      <c r="I224" s="1305"/>
      <c r="J224" s="1305"/>
      <c r="K224" s="1305"/>
      <c r="L224" s="1305"/>
      <c r="M224" s="1305"/>
      <c r="N224" s="12"/>
      <c r="O224" s="12"/>
      <c r="P224" s="12"/>
      <c r="Q224" s="12"/>
    </row>
    <row r="225" spans="1:17" s="11" customFormat="1" ht="18" customHeight="1" x14ac:dyDescent="0.2">
      <c r="A225" s="258"/>
      <c r="B225" s="2519" t="s">
        <v>2740</v>
      </c>
      <c r="C225" s="2519"/>
      <c r="D225" s="2519"/>
      <c r="E225" s="1302" t="s">
        <v>1515</v>
      </c>
      <c r="F225" s="1873">
        <v>45</v>
      </c>
      <c r="G225" s="1873"/>
      <c r="H225" s="1305"/>
      <c r="I225" s="1305"/>
      <c r="J225" s="1305"/>
      <c r="K225" s="1305"/>
      <c r="L225" s="1305"/>
      <c r="M225" s="1305"/>
      <c r="N225" s="12"/>
      <c r="O225" s="12"/>
      <c r="P225" s="12"/>
      <c r="Q225" s="12"/>
    </row>
    <row r="226" spans="1:17" s="11" customFormat="1" ht="18" customHeight="1" x14ac:dyDescent="0.2">
      <c r="A226" s="258"/>
      <c r="B226" s="2519" t="s">
        <v>2741</v>
      </c>
      <c r="C226" s="2519"/>
      <c r="D226" s="2519"/>
      <c r="E226" s="1302" t="s">
        <v>1515</v>
      </c>
      <c r="F226" s="1873">
        <v>55</v>
      </c>
      <c r="G226" s="1873"/>
      <c r="H226" s="1305"/>
      <c r="I226" s="1305"/>
      <c r="J226" s="1305"/>
      <c r="K226" s="1305"/>
      <c r="L226" s="1305"/>
      <c r="M226" s="1305"/>
      <c r="N226" s="12"/>
      <c r="O226" s="12"/>
      <c r="P226" s="12"/>
      <c r="Q226" s="12"/>
    </row>
    <row r="227" spans="1:17" s="11" customFormat="1" ht="18" customHeight="1" x14ac:dyDescent="0.2">
      <c r="A227" s="258"/>
      <c r="B227" s="2524" t="s">
        <v>627</v>
      </c>
      <c r="C227" s="2524"/>
      <c r="D227" s="2524"/>
      <c r="E227" s="2524"/>
      <c r="F227" s="2524"/>
      <c r="G227" s="2524"/>
      <c r="H227" s="1305"/>
      <c r="I227" s="1305"/>
      <c r="J227" s="1305"/>
      <c r="K227" s="1305"/>
      <c r="L227" s="1305"/>
      <c r="M227" s="1305"/>
      <c r="N227" s="12"/>
      <c r="O227" s="12"/>
      <c r="P227" s="12"/>
      <c r="Q227" s="12"/>
    </row>
    <row r="228" spans="1:17" s="11" customFormat="1" ht="18" customHeight="1" x14ac:dyDescent="0.2">
      <c r="A228" s="258"/>
      <c r="B228" s="2519" t="s">
        <v>2743</v>
      </c>
      <c r="C228" s="2519"/>
      <c r="D228" s="2519"/>
      <c r="E228" s="1302" t="s">
        <v>1515</v>
      </c>
      <c r="F228" s="1873">
        <v>60</v>
      </c>
      <c r="G228" s="1873"/>
      <c r="H228" s="1305"/>
      <c r="I228" s="1305"/>
      <c r="J228" s="1305"/>
      <c r="K228" s="1305"/>
      <c r="L228" s="1305"/>
      <c r="M228" s="1305"/>
      <c r="N228" s="12"/>
      <c r="O228" s="12"/>
      <c r="P228" s="12"/>
      <c r="Q228" s="12"/>
    </row>
    <row r="229" spans="1:17" s="11" customFormat="1" ht="18" customHeight="1" x14ac:dyDescent="0.2">
      <c r="A229" s="258"/>
      <c r="B229" s="2519" t="s">
        <v>2744</v>
      </c>
      <c r="C229" s="2519"/>
      <c r="D229" s="2519"/>
      <c r="E229" s="1302" t="s">
        <v>1515</v>
      </c>
      <c r="F229" s="1873">
        <v>55</v>
      </c>
      <c r="G229" s="1873"/>
      <c r="H229" s="1305"/>
      <c r="I229" s="1305"/>
      <c r="J229" s="1305"/>
      <c r="K229" s="1305"/>
      <c r="L229" s="1305"/>
      <c r="M229" s="1305"/>
      <c r="N229" s="12"/>
      <c r="O229" s="12"/>
      <c r="P229" s="12"/>
      <c r="Q229" s="12"/>
    </row>
    <row r="230" spans="1:17" s="11" customFormat="1" ht="26.25" customHeight="1" x14ac:dyDescent="0.2">
      <c r="A230" s="258"/>
      <c r="B230" s="2519" t="s">
        <v>2745</v>
      </c>
      <c r="C230" s="2519"/>
      <c r="D230" s="2519"/>
      <c r="E230" s="1302" t="s">
        <v>1515</v>
      </c>
      <c r="F230" s="1873">
        <v>60</v>
      </c>
      <c r="G230" s="1873"/>
      <c r="H230" s="1305"/>
      <c r="I230" s="1305"/>
      <c r="J230" s="1305"/>
      <c r="K230" s="1305"/>
      <c r="L230" s="1305"/>
      <c r="M230" s="1305"/>
      <c r="N230" s="12"/>
      <c r="O230" s="12"/>
      <c r="P230" s="12"/>
      <c r="Q230" s="12"/>
    </row>
    <row r="231" spans="1:17" s="11" customFormat="1" ht="26.25" customHeight="1" x14ac:dyDescent="0.2">
      <c r="A231" s="258"/>
      <c r="B231" s="2519" t="s">
        <v>2746</v>
      </c>
      <c r="C231" s="2519"/>
      <c r="D231" s="2519"/>
      <c r="E231" s="1302" t="s">
        <v>1515</v>
      </c>
      <c r="F231" s="1873">
        <v>60</v>
      </c>
      <c r="G231" s="1873"/>
      <c r="H231" s="1305"/>
      <c r="I231" s="1305"/>
      <c r="J231" s="1305"/>
      <c r="K231" s="1305"/>
      <c r="L231" s="1305"/>
      <c r="M231" s="1305"/>
      <c r="N231" s="12"/>
      <c r="O231" s="12"/>
      <c r="P231" s="12"/>
      <c r="Q231" s="12"/>
    </row>
    <row r="232" spans="1:17" s="11" customFormat="1" ht="15" customHeight="1" x14ac:dyDescent="0.2">
      <c r="A232" s="224"/>
      <c r="B232" s="224"/>
      <c r="C232" s="224"/>
      <c r="D232" s="224"/>
      <c r="E232" s="224"/>
      <c r="F232" s="224"/>
      <c r="G232" s="224"/>
      <c r="H232" s="224"/>
      <c r="I232" s="224"/>
      <c r="J232" s="224"/>
      <c r="K232" s="224"/>
      <c r="L232" s="224"/>
      <c r="M232" s="224"/>
      <c r="N232" s="224"/>
      <c r="O232" s="224"/>
      <c r="P232" s="224"/>
      <c r="Q232" s="224"/>
    </row>
    <row r="233" spans="1:17" s="11" customFormat="1" ht="18" hidden="1" customHeight="1" x14ac:dyDescent="0.2">
      <c r="A233" s="258"/>
      <c r="B233" s="1234"/>
      <c r="C233" s="1234"/>
      <c r="D233" s="1234"/>
      <c r="E233" s="1234"/>
      <c r="F233" s="1234"/>
      <c r="G233" s="1234"/>
      <c r="H233" s="1234"/>
      <c r="I233" s="1234"/>
      <c r="J233" s="1234"/>
      <c r="K233" s="1234"/>
      <c r="L233" s="1234"/>
      <c r="M233" s="1234"/>
      <c r="N233" s="12"/>
      <c r="O233" s="12"/>
      <c r="P233" s="12"/>
      <c r="Q233" s="12"/>
    </row>
    <row r="234" spans="1:17" s="11" customFormat="1" ht="15" hidden="1" customHeight="1" x14ac:dyDescent="0.2">
      <c r="A234" s="12"/>
      <c r="B234" s="12"/>
      <c r="C234" s="12"/>
      <c r="D234" s="12"/>
      <c r="E234" s="12"/>
      <c r="F234" s="12"/>
      <c r="G234" s="13"/>
      <c r="H234" s="13"/>
      <c r="I234" s="13"/>
      <c r="J234" s="13"/>
      <c r="K234" s="13"/>
      <c r="L234" s="13"/>
      <c r="M234" s="13"/>
      <c r="N234" s="13"/>
      <c r="O234" s="13"/>
      <c r="P234" s="13"/>
      <c r="Q234" s="13"/>
    </row>
    <row r="235" spans="1:17" s="11" customFormat="1" ht="15" hidden="1" customHeight="1" x14ac:dyDescent="0.2">
      <c r="A235" s="12"/>
      <c r="B235" s="12"/>
      <c r="C235" s="12"/>
      <c r="D235" s="12"/>
      <c r="E235" s="12"/>
      <c r="F235" s="12"/>
      <c r="G235" s="13"/>
      <c r="H235" s="13"/>
      <c r="I235" s="13"/>
      <c r="J235" s="13"/>
      <c r="K235" s="13"/>
      <c r="L235" s="13"/>
      <c r="M235" s="13"/>
      <c r="N235" s="13"/>
      <c r="O235" s="13"/>
      <c r="P235" s="13"/>
      <c r="Q235" s="13"/>
    </row>
    <row r="236" spans="1:17" s="11" customFormat="1" ht="15" hidden="1" customHeight="1" x14ac:dyDescent="0.2">
      <c r="A236" s="12"/>
      <c r="B236" s="12"/>
      <c r="C236" s="12"/>
      <c r="D236" s="12"/>
      <c r="E236" s="12"/>
      <c r="F236" s="12"/>
      <c r="G236" s="13"/>
      <c r="H236" s="13"/>
      <c r="I236" s="13"/>
      <c r="J236" s="13"/>
      <c r="K236" s="13"/>
      <c r="L236" s="13"/>
      <c r="M236" s="13"/>
      <c r="N236" s="13"/>
      <c r="O236" s="13"/>
      <c r="P236" s="13"/>
      <c r="Q236" s="13"/>
    </row>
    <row r="237" spans="1:17" s="11" customFormat="1" ht="15" hidden="1" customHeight="1" x14ac:dyDescent="0.2">
      <c r="A237" s="12"/>
      <c r="B237" s="12"/>
      <c r="C237" s="12"/>
      <c r="D237" s="12"/>
      <c r="E237" s="12"/>
      <c r="F237" s="12"/>
      <c r="G237" s="13"/>
      <c r="H237" s="13"/>
      <c r="I237" s="13"/>
      <c r="J237" s="13"/>
      <c r="K237" s="13"/>
      <c r="L237" s="13"/>
      <c r="M237" s="13"/>
      <c r="N237" s="13"/>
      <c r="O237" s="13"/>
      <c r="P237" s="13"/>
      <c r="Q237" s="13"/>
    </row>
    <row r="238" spans="1:17" s="11" customFormat="1" ht="15" hidden="1" customHeight="1" x14ac:dyDescent="0.2">
      <c r="A238" s="12"/>
      <c r="B238" s="12"/>
      <c r="C238" s="12"/>
      <c r="D238" s="12"/>
      <c r="E238" s="12"/>
      <c r="F238" s="12"/>
      <c r="G238" s="13"/>
      <c r="H238" s="13"/>
      <c r="I238" s="13"/>
      <c r="J238" s="13"/>
      <c r="K238" s="13"/>
      <c r="L238" s="13"/>
      <c r="M238" s="13"/>
      <c r="N238" s="13"/>
      <c r="O238" s="13"/>
      <c r="P238" s="13"/>
      <c r="Q238" s="13"/>
    </row>
    <row r="239" spans="1:17" s="11" customFormat="1" ht="15" hidden="1" customHeight="1" x14ac:dyDescent="0.2">
      <c r="A239" s="12"/>
      <c r="B239" s="12"/>
      <c r="C239" s="12"/>
      <c r="D239" s="12"/>
      <c r="E239" s="12"/>
      <c r="F239" s="12"/>
      <c r="G239" s="13"/>
      <c r="H239" s="13"/>
      <c r="I239" s="13"/>
      <c r="J239" s="13"/>
      <c r="K239" s="13"/>
      <c r="L239" s="13"/>
      <c r="M239" s="13"/>
      <c r="N239" s="13"/>
      <c r="O239" s="13"/>
      <c r="P239" s="13"/>
      <c r="Q239" s="13"/>
    </row>
    <row r="240" spans="1:17" s="11" customFormat="1" ht="15" hidden="1" customHeight="1" x14ac:dyDescent="0.2">
      <c r="A240" s="12"/>
      <c r="B240" s="12"/>
      <c r="C240" s="12"/>
      <c r="D240" s="12"/>
      <c r="E240" s="12"/>
      <c r="F240" s="12"/>
      <c r="G240" s="13"/>
      <c r="H240" s="13"/>
      <c r="I240" s="13"/>
      <c r="J240" s="13"/>
      <c r="K240" s="13"/>
      <c r="L240" s="13"/>
      <c r="M240" s="13"/>
      <c r="N240" s="13"/>
      <c r="O240" s="13"/>
      <c r="P240" s="13"/>
      <c r="Q240" s="13"/>
    </row>
    <row r="241" spans="1:17" s="11" customFormat="1" ht="15" hidden="1" customHeight="1" x14ac:dyDescent="0.2">
      <c r="A241" s="12"/>
      <c r="B241" s="12"/>
      <c r="C241" s="12"/>
      <c r="D241" s="12"/>
      <c r="E241" s="12"/>
      <c r="F241" s="12"/>
      <c r="G241" s="13"/>
      <c r="H241" s="13"/>
      <c r="I241" s="13"/>
      <c r="J241" s="13"/>
      <c r="K241" s="13"/>
      <c r="L241" s="13"/>
      <c r="M241" s="13"/>
      <c r="N241" s="13"/>
      <c r="O241" s="13"/>
      <c r="P241" s="13"/>
      <c r="Q241" s="13"/>
    </row>
    <row r="242" spans="1:17" s="11" customFormat="1" ht="15" hidden="1" customHeight="1" x14ac:dyDescent="0.2">
      <c r="A242" s="12"/>
      <c r="B242" s="12"/>
      <c r="C242" s="12"/>
      <c r="D242" s="12"/>
      <c r="E242" s="12"/>
      <c r="F242" s="12"/>
      <c r="G242" s="13"/>
      <c r="H242" s="13"/>
      <c r="I242" s="13"/>
      <c r="J242" s="13"/>
      <c r="K242" s="13"/>
      <c r="L242" s="13"/>
      <c r="M242" s="13"/>
      <c r="N242" s="13"/>
      <c r="O242" s="13"/>
      <c r="P242" s="13"/>
      <c r="Q242" s="13"/>
    </row>
    <row r="243" spans="1:17" s="11" customFormat="1" ht="15" hidden="1" customHeight="1" x14ac:dyDescent="0.2">
      <c r="A243" s="12"/>
      <c r="B243" s="12"/>
      <c r="C243" s="12"/>
      <c r="D243" s="12"/>
      <c r="E243" s="12"/>
      <c r="F243" s="12"/>
      <c r="G243" s="13"/>
      <c r="H243" s="13"/>
      <c r="I243" s="13"/>
      <c r="J243" s="13"/>
      <c r="K243" s="13"/>
      <c r="L243" s="13"/>
      <c r="M243" s="13"/>
      <c r="N243" s="13"/>
      <c r="O243" s="13"/>
      <c r="P243" s="13"/>
      <c r="Q243" s="13"/>
    </row>
    <row r="244" spans="1:17" s="11" customFormat="1" ht="15" hidden="1" customHeight="1" x14ac:dyDescent="0.2">
      <c r="A244" s="12"/>
      <c r="B244" s="12"/>
      <c r="C244" s="12"/>
      <c r="D244" s="12"/>
      <c r="E244" s="12"/>
      <c r="F244" s="12"/>
      <c r="G244" s="13"/>
      <c r="H244" s="13"/>
      <c r="I244" s="13"/>
      <c r="J244" s="13"/>
      <c r="K244" s="13"/>
      <c r="L244" s="13"/>
      <c r="M244" s="13"/>
      <c r="N244" s="13"/>
      <c r="O244" s="13"/>
      <c r="P244" s="13"/>
      <c r="Q244" s="13"/>
    </row>
    <row r="245" spans="1:17" s="11" customFormat="1" ht="15" hidden="1" customHeight="1" x14ac:dyDescent="0.2">
      <c r="A245" s="12"/>
      <c r="B245" s="12"/>
      <c r="C245" s="12"/>
      <c r="D245" s="12"/>
      <c r="E245" s="12"/>
      <c r="F245" s="12"/>
      <c r="G245" s="13"/>
      <c r="H245" s="13"/>
      <c r="I245" s="13"/>
      <c r="J245" s="13"/>
      <c r="K245" s="13"/>
      <c r="L245" s="13"/>
      <c r="M245" s="13"/>
      <c r="N245" s="13"/>
      <c r="O245" s="13"/>
      <c r="P245" s="13"/>
      <c r="Q245" s="13"/>
    </row>
    <row r="246" spans="1:17" s="11" customFormat="1" ht="15" hidden="1" customHeight="1" x14ac:dyDescent="0.2">
      <c r="A246" s="12"/>
      <c r="B246" s="12"/>
      <c r="C246" s="12"/>
      <c r="D246" s="12"/>
      <c r="E246" s="12"/>
      <c r="F246" s="12"/>
      <c r="G246" s="13"/>
      <c r="H246" s="13"/>
      <c r="I246" s="13"/>
      <c r="J246" s="13"/>
      <c r="K246" s="13"/>
      <c r="L246" s="13"/>
      <c r="M246" s="13"/>
      <c r="N246" s="13"/>
      <c r="O246" s="13"/>
      <c r="P246" s="13"/>
      <c r="Q246" s="13"/>
    </row>
    <row r="247" spans="1:17" s="11" customFormat="1" ht="15" hidden="1" customHeight="1" x14ac:dyDescent="0.2">
      <c r="A247" s="12"/>
      <c r="B247" s="12"/>
      <c r="C247" s="12"/>
      <c r="D247" s="12"/>
      <c r="E247" s="12"/>
      <c r="F247" s="12"/>
      <c r="G247" s="13"/>
      <c r="H247" s="13"/>
      <c r="I247" s="13"/>
      <c r="J247" s="13"/>
      <c r="K247" s="13"/>
      <c r="L247" s="13"/>
      <c r="M247" s="13"/>
      <c r="N247" s="13"/>
      <c r="O247" s="13"/>
      <c r="P247" s="13"/>
      <c r="Q247" s="13"/>
    </row>
    <row r="248" spans="1:17" s="11" customFormat="1" ht="15" hidden="1" customHeight="1" x14ac:dyDescent="0.2">
      <c r="A248" s="12"/>
      <c r="B248" s="12"/>
      <c r="C248" s="12"/>
      <c r="D248" s="12"/>
      <c r="E248" s="12"/>
      <c r="F248" s="12"/>
      <c r="G248" s="13"/>
      <c r="H248" s="13"/>
      <c r="I248" s="13"/>
      <c r="J248" s="13"/>
      <c r="K248" s="13"/>
      <c r="L248" s="13"/>
      <c r="M248" s="13"/>
      <c r="N248" s="13"/>
      <c r="O248" s="13"/>
      <c r="P248" s="13"/>
      <c r="Q248" s="13"/>
    </row>
    <row r="249" spans="1:17" s="11" customFormat="1" ht="15" hidden="1" customHeight="1" x14ac:dyDescent="0.2">
      <c r="A249" s="12"/>
      <c r="B249" s="12"/>
      <c r="C249" s="12"/>
      <c r="D249" s="12"/>
      <c r="E249" s="12"/>
      <c r="F249" s="12"/>
      <c r="G249" s="13"/>
      <c r="H249" s="13"/>
      <c r="I249" s="13"/>
      <c r="J249" s="13"/>
      <c r="K249" s="13"/>
      <c r="L249" s="13"/>
      <c r="M249" s="13"/>
      <c r="N249" s="13"/>
      <c r="O249" s="13"/>
      <c r="P249" s="13"/>
      <c r="Q249" s="13"/>
    </row>
    <row r="250" spans="1:17" s="11" customFormat="1" ht="15" hidden="1" customHeight="1" x14ac:dyDescent="0.2">
      <c r="A250" s="12"/>
      <c r="B250" s="12"/>
      <c r="C250" s="12"/>
      <c r="D250" s="12"/>
      <c r="E250" s="12"/>
      <c r="F250" s="12"/>
      <c r="G250" s="13"/>
      <c r="H250" s="13"/>
      <c r="I250" s="13"/>
      <c r="J250" s="13"/>
      <c r="K250" s="13"/>
      <c r="L250" s="13"/>
      <c r="M250" s="13"/>
      <c r="N250" s="13"/>
      <c r="O250" s="13"/>
      <c r="P250" s="13"/>
      <c r="Q250" s="13"/>
    </row>
    <row r="251" spans="1:17" s="11" customFormat="1" ht="15" hidden="1" customHeight="1" x14ac:dyDescent="0.2">
      <c r="A251" s="12"/>
      <c r="B251" s="12"/>
      <c r="C251" s="12"/>
      <c r="D251" s="12"/>
      <c r="E251" s="12"/>
      <c r="F251" s="12"/>
      <c r="G251" s="13"/>
      <c r="H251" s="13"/>
      <c r="I251" s="13"/>
      <c r="J251" s="13"/>
      <c r="K251" s="13"/>
      <c r="L251" s="13"/>
      <c r="M251" s="13"/>
      <c r="N251" s="13"/>
      <c r="O251" s="13"/>
      <c r="P251" s="13"/>
      <c r="Q251" s="13"/>
    </row>
    <row r="252" spans="1:17" s="11" customFormat="1" ht="15" hidden="1" customHeight="1" x14ac:dyDescent="0.2">
      <c r="A252" s="12"/>
      <c r="B252" s="12"/>
      <c r="C252" s="12"/>
      <c r="D252" s="12"/>
      <c r="E252" s="12"/>
      <c r="F252" s="12"/>
      <c r="G252" s="13"/>
      <c r="H252" s="13"/>
      <c r="I252" s="13"/>
      <c r="J252" s="13"/>
      <c r="K252" s="13"/>
      <c r="L252" s="13"/>
      <c r="M252" s="13"/>
      <c r="N252" s="13"/>
      <c r="O252" s="13"/>
      <c r="P252" s="13"/>
      <c r="Q252" s="13"/>
    </row>
    <row r="253" spans="1:17" s="11" customFormat="1" ht="15" hidden="1" customHeight="1" x14ac:dyDescent="0.2">
      <c r="A253" s="12"/>
      <c r="B253" s="12"/>
      <c r="C253" s="12"/>
      <c r="D253" s="12"/>
      <c r="E253" s="12"/>
      <c r="F253" s="12"/>
      <c r="G253" s="13"/>
      <c r="H253" s="13"/>
      <c r="I253" s="13"/>
      <c r="J253" s="13"/>
      <c r="K253" s="13"/>
      <c r="L253" s="13"/>
      <c r="M253" s="13"/>
      <c r="N253" s="13"/>
      <c r="O253" s="13"/>
      <c r="P253" s="13"/>
      <c r="Q253" s="13"/>
    </row>
    <row r="254" spans="1:17" s="11" customFormat="1" ht="15" hidden="1" customHeight="1" x14ac:dyDescent="0.2">
      <c r="A254" s="12"/>
      <c r="B254" s="12"/>
      <c r="C254" s="12"/>
      <c r="D254" s="12"/>
      <c r="E254" s="12"/>
      <c r="F254" s="12"/>
      <c r="G254" s="13"/>
      <c r="H254" s="13"/>
      <c r="I254" s="13"/>
      <c r="J254" s="13"/>
      <c r="K254" s="13"/>
      <c r="L254" s="13"/>
      <c r="M254" s="13"/>
      <c r="N254" s="13"/>
      <c r="O254" s="13"/>
      <c r="P254" s="13"/>
      <c r="Q254" s="13"/>
    </row>
    <row r="255" spans="1:17" s="11" customFormat="1" ht="15" hidden="1" customHeight="1" x14ac:dyDescent="0.2">
      <c r="A255" s="12"/>
      <c r="B255" s="12"/>
      <c r="C255" s="12"/>
      <c r="D255" s="12"/>
      <c r="E255" s="12"/>
      <c r="F255" s="12"/>
      <c r="G255" s="13"/>
      <c r="H255" s="13"/>
      <c r="I255" s="13"/>
      <c r="J255" s="13"/>
      <c r="K255" s="13"/>
      <c r="L255" s="13"/>
      <c r="M255" s="13"/>
      <c r="N255" s="13"/>
      <c r="O255" s="13"/>
      <c r="P255" s="13"/>
      <c r="Q255" s="13"/>
    </row>
    <row r="256" spans="1:17" s="11" customFormat="1" ht="15" hidden="1" customHeight="1" x14ac:dyDescent="0.2">
      <c r="A256" s="12"/>
      <c r="B256" s="12"/>
      <c r="C256" s="12"/>
      <c r="D256" s="12"/>
      <c r="E256" s="12"/>
      <c r="F256" s="12"/>
      <c r="G256" s="13"/>
      <c r="H256" s="13"/>
      <c r="I256" s="13"/>
      <c r="J256" s="13"/>
      <c r="K256" s="13"/>
      <c r="L256" s="13"/>
      <c r="M256" s="13"/>
      <c r="N256" s="13"/>
      <c r="O256" s="13"/>
      <c r="P256" s="13"/>
      <c r="Q256" s="13"/>
    </row>
    <row r="257" spans="1:17" s="11" customFormat="1" ht="15" hidden="1" customHeight="1" x14ac:dyDescent="0.2">
      <c r="A257" s="12"/>
      <c r="B257" s="12"/>
      <c r="C257" s="12"/>
      <c r="D257" s="12"/>
      <c r="E257" s="12"/>
      <c r="F257" s="12"/>
      <c r="G257" s="13"/>
      <c r="H257" s="13"/>
      <c r="I257" s="13"/>
      <c r="J257" s="13"/>
      <c r="K257" s="13"/>
      <c r="L257" s="13"/>
      <c r="M257" s="13"/>
      <c r="N257" s="13"/>
      <c r="O257" s="13"/>
      <c r="P257" s="13"/>
      <c r="Q257" s="13"/>
    </row>
    <row r="258" spans="1:17" s="11" customFormat="1" ht="15" hidden="1" customHeight="1" x14ac:dyDescent="0.2">
      <c r="A258" s="12"/>
      <c r="B258" s="12"/>
      <c r="C258" s="12"/>
      <c r="D258" s="12"/>
      <c r="E258" s="12"/>
      <c r="F258" s="12"/>
      <c r="G258" s="13"/>
      <c r="H258" s="13"/>
      <c r="I258" s="13"/>
      <c r="J258" s="13"/>
      <c r="K258" s="13"/>
      <c r="L258" s="13"/>
      <c r="M258" s="13"/>
      <c r="N258" s="13"/>
      <c r="O258" s="13"/>
      <c r="P258" s="13"/>
      <c r="Q258" s="13"/>
    </row>
    <row r="259" spans="1:17" s="11" customFormat="1" ht="15" hidden="1" customHeight="1" x14ac:dyDescent="0.2">
      <c r="A259" s="12"/>
      <c r="B259" s="12"/>
      <c r="C259" s="12"/>
      <c r="D259" s="12"/>
      <c r="E259" s="12"/>
      <c r="F259" s="12"/>
      <c r="G259" s="13"/>
      <c r="H259" s="13"/>
      <c r="I259" s="13"/>
      <c r="J259" s="13"/>
      <c r="K259" s="13"/>
      <c r="L259" s="13"/>
      <c r="M259" s="13"/>
      <c r="N259" s="13"/>
      <c r="O259" s="13"/>
      <c r="P259" s="13"/>
      <c r="Q259" s="13"/>
    </row>
    <row r="260" spans="1:17" s="11" customFormat="1" ht="15" hidden="1" customHeight="1" x14ac:dyDescent="0.2">
      <c r="A260" s="12"/>
      <c r="B260" s="12"/>
      <c r="C260" s="12"/>
      <c r="D260" s="12"/>
      <c r="E260" s="12"/>
      <c r="F260" s="12"/>
      <c r="G260" s="13"/>
      <c r="H260" s="13"/>
      <c r="I260" s="13"/>
      <c r="J260" s="13"/>
      <c r="K260" s="13"/>
      <c r="L260" s="13"/>
      <c r="M260" s="13"/>
      <c r="N260" s="13"/>
      <c r="O260" s="13"/>
      <c r="P260" s="13"/>
      <c r="Q260" s="13"/>
    </row>
    <row r="261" spans="1:17" s="11" customFormat="1" ht="15" hidden="1" customHeight="1" x14ac:dyDescent="0.2">
      <c r="A261" s="12"/>
      <c r="B261" s="12"/>
      <c r="C261" s="12"/>
      <c r="D261" s="12"/>
      <c r="E261" s="12"/>
      <c r="F261" s="12"/>
      <c r="G261" s="13"/>
      <c r="H261" s="13"/>
      <c r="I261" s="13"/>
      <c r="J261" s="13"/>
      <c r="K261" s="13"/>
      <c r="L261" s="13"/>
      <c r="M261" s="13"/>
      <c r="N261" s="13"/>
      <c r="O261" s="13"/>
      <c r="P261" s="13"/>
      <c r="Q261" s="13"/>
    </row>
    <row r="262" spans="1:17" s="11" customFormat="1" ht="15" hidden="1" customHeight="1" x14ac:dyDescent="0.2">
      <c r="A262" s="12"/>
      <c r="B262" s="12"/>
      <c r="C262" s="12"/>
      <c r="D262" s="12"/>
      <c r="E262" s="12"/>
      <c r="F262" s="12"/>
      <c r="G262" s="13"/>
      <c r="H262" s="13"/>
      <c r="I262" s="13"/>
      <c r="J262" s="13"/>
      <c r="K262" s="13"/>
      <c r="L262" s="13"/>
      <c r="M262" s="13"/>
      <c r="N262" s="13"/>
      <c r="O262" s="13"/>
      <c r="P262" s="13"/>
      <c r="Q262" s="13"/>
    </row>
    <row r="263" spans="1:17" s="11" customFormat="1" ht="15" hidden="1" customHeight="1" x14ac:dyDescent="0.2">
      <c r="A263" s="12"/>
      <c r="B263" s="12"/>
      <c r="C263" s="12"/>
      <c r="D263" s="12"/>
      <c r="E263" s="12"/>
      <c r="F263" s="12"/>
      <c r="G263" s="13"/>
      <c r="H263" s="13"/>
      <c r="I263" s="13"/>
      <c r="J263" s="13"/>
      <c r="K263" s="13"/>
      <c r="L263" s="13"/>
      <c r="M263" s="13"/>
      <c r="N263" s="13"/>
      <c r="O263" s="13"/>
      <c r="P263" s="13"/>
      <c r="Q263" s="13"/>
    </row>
    <row r="264" spans="1:17" s="11" customFormat="1" ht="15" hidden="1" customHeight="1" x14ac:dyDescent="0.2">
      <c r="A264" s="12"/>
      <c r="B264" s="12"/>
      <c r="C264" s="12"/>
      <c r="D264" s="12"/>
      <c r="E264" s="12"/>
      <c r="F264" s="12"/>
      <c r="G264" s="13"/>
      <c r="H264" s="13"/>
      <c r="I264" s="13"/>
      <c r="J264" s="13"/>
      <c r="K264" s="13"/>
      <c r="L264" s="13"/>
      <c r="M264" s="13"/>
      <c r="N264" s="13"/>
      <c r="O264" s="13"/>
      <c r="P264" s="13"/>
      <c r="Q264" s="13"/>
    </row>
    <row r="265" spans="1:17" s="11" customFormat="1" ht="15" hidden="1" customHeight="1" x14ac:dyDescent="0.2">
      <c r="A265" s="12"/>
      <c r="B265" s="12"/>
      <c r="C265" s="12"/>
      <c r="D265" s="12"/>
      <c r="E265" s="12"/>
      <c r="F265" s="12"/>
      <c r="G265" s="13"/>
      <c r="H265" s="13"/>
      <c r="I265" s="13"/>
      <c r="J265" s="13"/>
      <c r="K265" s="13"/>
      <c r="L265" s="13"/>
      <c r="M265" s="13"/>
      <c r="N265" s="13"/>
      <c r="O265" s="13"/>
      <c r="P265" s="13"/>
      <c r="Q265" s="13"/>
    </row>
    <row r="266" spans="1:17" s="11" customFormat="1" ht="15" hidden="1" customHeight="1" x14ac:dyDescent="0.2">
      <c r="A266" s="12"/>
      <c r="B266" s="12"/>
      <c r="C266" s="12"/>
      <c r="D266" s="12"/>
      <c r="E266" s="12"/>
      <c r="F266" s="12"/>
      <c r="G266" s="13"/>
      <c r="H266" s="13"/>
      <c r="I266" s="13"/>
      <c r="J266" s="13"/>
      <c r="K266" s="13"/>
      <c r="L266" s="13"/>
      <c r="M266" s="13"/>
      <c r="N266" s="13"/>
      <c r="O266" s="13"/>
      <c r="P266" s="13"/>
      <c r="Q266" s="13"/>
    </row>
    <row r="267" spans="1:17" s="11" customFormat="1" ht="15" hidden="1" customHeight="1" x14ac:dyDescent="0.2">
      <c r="A267" s="12"/>
      <c r="B267" s="12"/>
      <c r="C267" s="12"/>
      <c r="D267" s="12"/>
      <c r="E267" s="12"/>
      <c r="F267" s="12"/>
      <c r="G267" s="13"/>
      <c r="H267" s="13"/>
      <c r="I267" s="13"/>
      <c r="J267" s="13"/>
      <c r="K267" s="13"/>
      <c r="L267" s="13"/>
      <c r="M267" s="13"/>
      <c r="N267" s="13"/>
      <c r="O267" s="13"/>
      <c r="P267" s="13"/>
      <c r="Q267" s="13"/>
    </row>
    <row r="268" spans="1:17" s="11" customFormat="1" ht="15" hidden="1" customHeight="1" x14ac:dyDescent="0.2">
      <c r="A268" s="12"/>
      <c r="B268" s="12"/>
      <c r="C268" s="12"/>
      <c r="D268" s="12"/>
      <c r="E268" s="12"/>
      <c r="F268" s="12"/>
      <c r="G268" s="13"/>
      <c r="H268" s="13"/>
      <c r="I268" s="13"/>
      <c r="J268" s="13"/>
      <c r="K268" s="13"/>
      <c r="L268" s="13"/>
      <c r="M268" s="13"/>
      <c r="N268" s="13"/>
      <c r="O268" s="13"/>
      <c r="P268" s="13"/>
      <c r="Q268" s="13"/>
    </row>
    <row r="269" spans="1:17" s="11" customFormat="1" ht="15" hidden="1" customHeight="1" x14ac:dyDescent="0.2">
      <c r="A269" s="12"/>
      <c r="B269" s="12"/>
      <c r="C269" s="12"/>
      <c r="D269" s="12"/>
      <c r="E269" s="12"/>
      <c r="F269" s="12"/>
      <c r="G269" s="13"/>
      <c r="H269" s="13"/>
      <c r="I269" s="13"/>
      <c r="J269" s="13"/>
      <c r="K269" s="13"/>
      <c r="L269" s="13"/>
      <c r="M269" s="13"/>
      <c r="N269" s="13"/>
      <c r="O269" s="13"/>
      <c r="P269" s="13"/>
      <c r="Q269" s="13"/>
    </row>
    <row r="270" spans="1:17" s="11" customFormat="1" ht="15" hidden="1" customHeight="1" x14ac:dyDescent="0.2">
      <c r="A270" s="12"/>
      <c r="B270" s="12"/>
      <c r="C270" s="12"/>
      <c r="D270" s="12"/>
      <c r="E270" s="12"/>
      <c r="F270" s="12"/>
      <c r="G270" s="13"/>
      <c r="H270" s="13"/>
      <c r="I270" s="13"/>
      <c r="J270" s="13"/>
      <c r="K270" s="13"/>
      <c r="L270" s="13"/>
      <c r="M270" s="13"/>
      <c r="N270" s="13"/>
      <c r="O270" s="13"/>
      <c r="P270" s="13"/>
      <c r="Q270" s="13"/>
    </row>
    <row r="271" spans="1:17" s="11" customFormat="1" ht="15" hidden="1" customHeight="1" x14ac:dyDescent="0.2">
      <c r="A271" s="12"/>
      <c r="B271" s="12"/>
      <c r="C271" s="12"/>
      <c r="D271" s="12"/>
      <c r="E271" s="12"/>
      <c r="F271" s="12"/>
      <c r="G271" s="13"/>
      <c r="H271" s="13"/>
      <c r="I271" s="13"/>
      <c r="J271" s="13"/>
      <c r="K271" s="13"/>
      <c r="L271" s="13"/>
      <c r="M271" s="13"/>
      <c r="N271" s="13"/>
      <c r="O271" s="13"/>
      <c r="P271" s="13"/>
      <c r="Q271" s="13"/>
    </row>
    <row r="272" spans="1:17" s="11" customFormat="1" ht="15" hidden="1" customHeight="1" x14ac:dyDescent="0.2">
      <c r="A272" s="12"/>
      <c r="B272" s="12"/>
      <c r="C272" s="12"/>
      <c r="D272" s="12"/>
      <c r="E272" s="12"/>
      <c r="F272" s="12"/>
      <c r="G272" s="13"/>
      <c r="H272" s="13"/>
      <c r="I272" s="13"/>
      <c r="J272" s="13"/>
      <c r="K272" s="13"/>
      <c r="L272" s="13"/>
      <c r="M272" s="13"/>
      <c r="N272" s="13"/>
      <c r="O272" s="13"/>
      <c r="P272" s="13"/>
      <c r="Q272" s="13"/>
    </row>
    <row r="273" spans="1:17" s="11" customFormat="1" ht="15" hidden="1" customHeight="1" x14ac:dyDescent="0.2">
      <c r="A273" s="12"/>
      <c r="B273" s="12"/>
      <c r="C273" s="12"/>
      <c r="D273" s="12"/>
      <c r="E273" s="12"/>
      <c r="F273" s="12"/>
      <c r="G273" s="13"/>
      <c r="H273" s="13"/>
      <c r="I273" s="13"/>
      <c r="J273" s="13"/>
      <c r="K273" s="13"/>
      <c r="L273" s="13"/>
      <c r="M273" s="13"/>
      <c r="N273" s="13"/>
      <c r="O273" s="13"/>
      <c r="P273" s="13"/>
      <c r="Q273" s="13"/>
    </row>
    <row r="274" spans="1:17" s="11" customFormat="1" ht="15" hidden="1" customHeight="1" x14ac:dyDescent="0.2">
      <c r="A274" s="12"/>
      <c r="B274" s="12"/>
      <c r="C274" s="12"/>
      <c r="D274" s="12"/>
      <c r="E274" s="12"/>
      <c r="F274" s="12"/>
      <c r="G274" s="13"/>
      <c r="H274" s="13"/>
      <c r="I274" s="13"/>
      <c r="J274" s="13"/>
      <c r="K274" s="13"/>
      <c r="L274" s="13"/>
      <c r="M274" s="13"/>
      <c r="N274" s="13"/>
      <c r="O274" s="13"/>
      <c r="P274" s="13"/>
      <c r="Q274" s="13"/>
    </row>
    <row r="275" spans="1:17" s="11" customFormat="1" ht="15" hidden="1" customHeight="1" x14ac:dyDescent="0.2">
      <c r="A275" s="12"/>
      <c r="B275" s="12"/>
      <c r="C275" s="12"/>
      <c r="D275" s="12"/>
      <c r="E275" s="12"/>
      <c r="F275" s="12"/>
      <c r="G275" s="13"/>
      <c r="H275" s="13"/>
      <c r="I275" s="13"/>
      <c r="J275" s="13"/>
      <c r="K275" s="13"/>
      <c r="L275" s="13"/>
      <c r="M275" s="13"/>
      <c r="N275" s="13"/>
      <c r="O275" s="13"/>
      <c r="P275" s="13"/>
      <c r="Q275" s="13"/>
    </row>
    <row r="276" spans="1:17" s="11" customFormat="1" ht="15" hidden="1" customHeight="1" x14ac:dyDescent="0.2">
      <c r="A276" s="12"/>
      <c r="B276" s="12"/>
      <c r="C276" s="12"/>
      <c r="D276" s="12"/>
      <c r="E276" s="12"/>
      <c r="F276" s="12"/>
      <c r="G276" s="13"/>
      <c r="H276" s="13"/>
      <c r="I276" s="13"/>
      <c r="J276" s="13"/>
      <c r="K276" s="13"/>
      <c r="L276" s="13"/>
      <c r="M276" s="13"/>
      <c r="N276" s="13"/>
      <c r="O276" s="13"/>
      <c r="P276" s="13"/>
      <c r="Q276" s="13"/>
    </row>
    <row r="277" spans="1:17" s="11" customFormat="1" ht="15" hidden="1" customHeight="1" x14ac:dyDescent="0.2">
      <c r="A277" s="12"/>
      <c r="B277" s="12"/>
      <c r="C277" s="12"/>
      <c r="D277" s="12"/>
      <c r="E277" s="12"/>
      <c r="F277" s="12"/>
      <c r="G277" s="13"/>
      <c r="H277" s="13"/>
      <c r="I277" s="13"/>
      <c r="J277" s="13"/>
      <c r="K277" s="13"/>
      <c r="L277" s="13"/>
      <c r="M277" s="13"/>
      <c r="N277" s="13"/>
      <c r="O277" s="13"/>
      <c r="P277" s="13"/>
      <c r="Q277" s="13"/>
    </row>
    <row r="278" spans="1:17" s="11" customFormat="1" ht="15" hidden="1" customHeight="1" x14ac:dyDescent="0.2">
      <c r="A278" s="12"/>
      <c r="B278" s="12"/>
      <c r="C278" s="12"/>
      <c r="D278" s="12"/>
      <c r="E278" s="12"/>
      <c r="F278" s="12"/>
      <c r="G278" s="13"/>
      <c r="H278" s="13"/>
      <c r="I278" s="13"/>
      <c r="J278" s="13"/>
      <c r="K278" s="13"/>
      <c r="L278" s="13"/>
      <c r="M278" s="13"/>
      <c r="N278" s="13"/>
      <c r="O278" s="13"/>
      <c r="P278" s="13"/>
      <c r="Q278" s="13"/>
    </row>
    <row r="279" spans="1:17" s="11" customFormat="1" ht="15" hidden="1" customHeight="1" x14ac:dyDescent="0.2">
      <c r="A279" s="12"/>
      <c r="B279" s="12"/>
      <c r="C279" s="12"/>
      <c r="D279" s="12"/>
      <c r="E279" s="12"/>
      <c r="F279" s="12"/>
      <c r="G279" s="13"/>
      <c r="H279" s="13"/>
      <c r="I279" s="13"/>
      <c r="J279" s="13"/>
      <c r="K279" s="13"/>
      <c r="L279" s="13"/>
      <c r="M279" s="13"/>
      <c r="N279" s="13"/>
      <c r="O279" s="13"/>
      <c r="P279" s="13"/>
      <c r="Q279" s="13"/>
    </row>
    <row r="280" spans="1:17" s="11" customFormat="1" ht="15" hidden="1" customHeight="1" x14ac:dyDescent="0.2">
      <c r="A280" s="12"/>
      <c r="B280" s="12"/>
      <c r="C280" s="12"/>
      <c r="D280" s="12"/>
      <c r="E280" s="12"/>
      <c r="F280" s="12"/>
      <c r="G280" s="13"/>
      <c r="H280" s="13"/>
      <c r="I280" s="13"/>
      <c r="J280" s="13"/>
      <c r="K280" s="13"/>
      <c r="L280" s="13"/>
      <c r="M280" s="13"/>
      <c r="N280" s="13"/>
      <c r="O280" s="13"/>
      <c r="P280" s="13"/>
      <c r="Q280" s="13"/>
    </row>
    <row r="281" spans="1:17" s="11" customFormat="1" ht="15" hidden="1" customHeight="1" x14ac:dyDescent="0.2">
      <c r="A281" s="12"/>
      <c r="B281" s="12"/>
      <c r="C281" s="12"/>
      <c r="D281" s="12"/>
      <c r="E281" s="12"/>
      <c r="F281" s="12"/>
      <c r="G281" s="13"/>
      <c r="H281" s="13"/>
      <c r="I281" s="13"/>
      <c r="J281" s="13"/>
      <c r="K281" s="13"/>
      <c r="L281" s="13"/>
      <c r="M281" s="13"/>
      <c r="N281" s="13"/>
      <c r="O281" s="13"/>
      <c r="P281" s="13"/>
      <c r="Q281" s="13"/>
    </row>
    <row r="282" spans="1:17" s="11" customFormat="1" ht="15" hidden="1" customHeight="1" x14ac:dyDescent="0.2">
      <c r="A282" s="12"/>
      <c r="B282" s="12"/>
      <c r="C282" s="12"/>
      <c r="D282" s="12"/>
      <c r="E282" s="12"/>
      <c r="F282" s="12"/>
      <c r="G282" s="13"/>
      <c r="H282" s="13"/>
      <c r="I282" s="13"/>
      <c r="J282" s="13"/>
      <c r="K282" s="13"/>
      <c r="L282" s="13"/>
      <c r="M282" s="13"/>
      <c r="N282" s="13"/>
      <c r="O282" s="13"/>
      <c r="P282" s="13"/>
      <c r="Q282" s="13"/>
    </row>
    <row r="283" spans="1:17" s="11" customFormat="1" ht="15" hidden="1" customHeight="1" x14ac:dyDescent="0.2">
      <c r="A283" s="12"/>
      <c r="B283" s="12"/>
      <c r="C283" s="12"/>
      <c r="D283" s="12"/>
      <c r="E283" s="12"/>
      <c r="F283" s="12"/>
      <c r="G283" s="13"/>
      <c r="H283" s="13"/>
      <c r="I283" s="13"/>
      <c r="J283" s="13"/>
      <c r="K283" s="13"/>
      <c r="L283" s="13"/>
      <c r="M283" s="13"/>
      <c r="N283" s="13"/>
      <c r="O283" s="13"/>
      <c r="P283" s="13"/>
      <c r="Q283" s="13"/>
    </row>
    <row r="284" spans="1:17" s="11" customFormat="1" ht="15" hidden="1" customHeight="1" x14ac:dyDescent="0.2">
      <c r="A284" s="12"/>
      <c r="B284" s="12"/>
      <c r="C284" s="12"/>
      <c r="D284" s="12"/>
      <c r="E284" s="12"/>
      <c r="F284" s="12"/>
      <c r="G284" s="13"/>
      <c r="H284" s="13"/>
      <c r="I284" s="13"/>
      <c r="J284" s="13"/>
      <c r="K284" s="13"/>
      <c r="L284" s="13"/>
      <c r="M284" s="13"/>
      <c r="N284" s="13"/>
      <c r="O284" s="13"/>
      <c r="P284" s="13"/>
      <c r="Q284" s="13"/>
    </row>
    <row r="285" spans="1:17" s="11" customFormat="1" ht="15" hidden="1" customHeight="1" x14ac:dyDescent="0.2">
      <c r="A285" s="12"/>
      <c r="B285" s="12"/>
      <c r="C285" s="12"/>
      <c r="D285" s="12"/>
      <c r="E285" s="12"/>
      <c r="F285" s="12"/>
      <c r="G285" s="13"/>
      <c r="H285" s="13"/>
      <c r="I285" s="13"/>
      <c r="J285" s="13"/>
      <c r="K285" s="13"/>
      <c r="L285" s="13"/>
      <c r="M285" s="13"/>
      <c r="N285" s="13"/>
      <c r="O285" s="13"/>
      <c r="P285" s="13"/>
      <c r="Q285" s="13"/>
    </row>
    <row r="286" spans="1:17" s="11" customFormat="1" ht="15" hidden="1" customHeight="1" x14ac:dyDescent="0.2">
      <c r="A286" s="12"/>
      <c r="B286" s="12"/>
      <c r="C286" s="12"/>
      <c r="D286" s="12"/>
      <c r="E286" s="12"/>
      <c r="F286" s="12"/>
      <c r="G286" s="13"/>
      <c r="H286" s="13"/>
      <c r="I286" s="13"/>
      <c r="J286" s="13"/>
      <c r="K286" s="13"/>
      <c r="L286" s="13"/>
      <c r="M286" s="13"/>
      <c r="N286" s="13"/>
      <c r="O286" s="13"/>
      <c r="P286" s="13"/>
      <c r="Q286" s="13"/>
    </row>
    <row r="287" spans="1:17" s="11" customFormat="1" ht="15" hidden="1" customHeight="1" x14ac:dyDescent="0.2">
      <c r="A287" s="12"/>
      <c r="B287" s="12"/>
      <c r="C287" s="12"/>
      <c r="D287" s="12"/>
      <c r="E287" s="12"/>
      <c r="F287" s="12"/>
      <c r="G287" s="13"/>
      <c r="H287" s="13"/>
      <c r="I287" s="13"/>
      <c r="J287" s="13"/>
      <c r="K287" s="13"/>
      <c r="L287" s="13"/>
      <c r="M287" s="13"/>
      <c r="N287" s="13"/>
      <c r="O287" s="13"/>
      <c r="P287" s="13"/>
      <c r="Q287" s="13"/>
    </row>
    <row r="288" spans="1:17" s="11" customFormat="1" ht="15" hidden="1" customHeight="1" x14ac:dyDescent="0.2">
      <c r="A288" s="12"/>
      <c r="B288" s="12"/>
      <c r="C288" s="12"/>
      <c r="D288" s="12"/>
      <c r="E288" s="12"/>
      <c r="F288" s="12"/>
      <c r="G288" s="13"/>
      <c r="H288" s="13"/>
      <c r="I288" s="13"/>
      <c r="J288" s="13"/>
      <c r="K288" s="13"/>
      <c r="L288" s="13"/>
      <c r="M288" s="13"/>
      <c r="N288" s="13"/>
      <c r="O288" s="13"/>
      <c r="P288" s="13"/>
      <c r="Q288" s="13"/>
    </row>
    <row r="289" spans="1:17" s="11" customFormat="1" ht="15" hidden="1" customHeight="1" x14ac:dyDescent="0.2">
      <c r="A289" s="12"/>
      <c r="B289" s="12"/>
      <c r="C289" s="12"/>
      <c r="D289" s="12"/>
      <c r="E289" s="12"/>
      <c r="F289" s="12"/>
      <c r="G289" s="13"/>
      <c r="H289" s="13"/>
      <c r="I289" s="13"/>
      <c r="J289" s="13"/>
      <c r="K289" s="13"/>
      <c r="L289" s="13"/>
      <c r="M289" s="13"/>
      <c r="N289" s="13"/>
      <c r="O289" s="13"/>
      <c r="P289" s="13"/>
      <c r="Q289" s="13"/>
    </row>
    <row r="290" spans="1:17" s="11" customFormat="1" ht="15" hidden="1" customHeight="1" x14ac:dyDescent="0.2">
      <c r="A290" s="12"/>
      <c r="B290" s="12"/>
      <c r="C290" s="12"/>
      <c r="D290" s="12"/>
      <c r="E290" s="12"/>
      <c r="F290" s="12"/>
      <c r="G290" s="13"/>
      <c r="H290" s="13"/>
      <c r="I290" s="13"/>
      <c r="J290" s="13"/>
      <c r="K290" s="13"/>
      <c r="L290" s="13"/>
      <c r="M290" s="13"/>
      <c r="N290" s="13"/>
      <c r="O290" s="13"/>
      <c r="P290" s="13"/>
      <c r="Q290" s="13"/>
    </row>
    <row r="291" spans="1:17" s="11" customFormat="1" ht="15" hidden="1" customHeight="1" x14ac:dyDescent="0.2">
      <c r="A291" s="12"/>
      <c r="B291" s="12"/>
      <c r="C291" s="12"/>
      <c r="D291" s="12"/>
      <c r="E291" s="12"/>
      <c r="F291" s="12"/>
      <c r="G291" s="13"/>
      <c r="H291" s="13"/>
      <c r="I291" s="13"/>
      <c r="J291" s="13"/>
      <c r="K291" s="13"/>
      <c r="L291" s="13"/>
      <c r="M291" s="13"/>
      <c r="N291" s="13"/>
      <c r="O291" s="13"/>
      <c r="P291" s="13"/>
      <c r="Q291" s="13"/>
    </row>
    <row r="292" spans="1:17" s="11" customFormat="1" ht="15" hidden="1" customHeight="1" x14ac:dyDescent="0.2">
      <c r="A292" s="12"/>
      <c r="B292" s="12"/>
      <c r="C292" s="12"/>
      <c r="D292" s="12"/>
      <c r="E292" s="12"/>
      <c r="F292" s="12"/>
      <c r="G292" s="13"/>
      <c r="H292" s="13"/>
      <c r="I292" s="13"/>
      <c r="J292" s="13"/>
      <c r="K292" s="13"/>
      <c r="L292" s="13"/>
      <c r="M292" s="13"/>
      <c r="N292" s="13"/>
      <c r="O292" s="13"/>
      <c r="P292" s="13"/>
      <c r="Q292" s="13"/>
    </row>
    <row r="293" spans="1:17" s="11" customFormat="1" ht="15" hidden="1" customHeight="1" x14ac:dyDescent="0.2">
      <c r="A293" s="12"/>
      <c r="B293" s="12"/>
      <c r="C293" s="12"/>
      <c r="D293" s="12"/>
      <c r="E293" s="12"/>
      <c r="F293" s="12"/>
      <c r="G293" s="13"/>
      <c r="H293" s="13"/>
      <c r="I293" s="13"/>
      <c r="J293" s="13"/>
      <c r="K293" s="13"/>
      <c r="L293" s="13"/>
      <c r="M293" s="13"/>
      <c r="N293" s="13"/>
      <c r="O293" s="13"/>
      <c r="P293" s="13"/>
      <c r="Q293" s="13"/>
    </row>
    <row r="294" spans="1:17" s="11" customFormat="1" ht="15" hidden="1" customHeight="1" x14ac:dyDescent="0.2">
      <c r="A294" s="12"/>
      <c r="B294" s="12"/>
      <c r="C294" s="12"/>
      <c r="D294" s="12"/>
      <c r="E294" s="12"/>
      <c r="F294" s="12"/>
      <c r="G294" s="13"/>
      <c r="H294" s="13"/>
      <c r="I294" s="13"/>
      <c r="J294" s="13"/>
      <c r="K294" s="13"/>
      <c r="L294" s="13"/>
      <c r="M294" s="13"/>
      <c r="N294" s="13"/>
      <c r="O294" s="13"/>
      <c r="P294" s="13"/>
      <c r="Q294" s="13"/>
    </row>
    <row r="295" spans="1:17" s="11" customFormat="1" ht="15" hidden="1" customHeight="1" x14ac:dyDescent="0.2">
      <c r="A295" s="12"/>
      <c r="B295" s="12"/>
      <c r="C295" s="12"/>
      <c r="D295" s="12"/>
      <c r="E295" s="12"/>
      <c r="F295" s="12"/>
      <c r="G295" s="13"/>
      <c r="H295" s="13"/>
      <c r="I295" s="13"/>
      <c r="J295" s="13"/>
      <c r="K295" s="13"/>
      <c r="L295" s="13"/>
      <c r="M295" s="13"/>
      <c r="N295" s="13"/>
      <c r="O295" s="13"/>
      <c r="P295" s="13"/>
      <c r="Q295" s="13"/>
    </row>
    <row r="296" spans="1:17" s="11" customFormat="1" ht="15" hidden="1" customHeight="1" x14ac:dyDescent="0.2">
      <c r="A296" s="12"/>
      <c r="B296" s="12"/>
      <c r="C296" s="12"/>
      <c r="D296" s="12"/>
      <c r="E296" s="12"/>
      <c r="F296" s="12"/>
      <c r="G296" s="13"/>
      <c r="H296" s="13"/>
      <c r="I296" s="13"/>
      <c r="J296" s="13"/>
      <c r="K296" s="13"/>
      <c r="L296" s="13"/>
      <c r="M296" s="13"/>
      <c r="N296" s="13"/>
      <c r="O296" s="13"/>
      <c r="P296" s="13"/>
      <c r="Q296" s="13"/>
    </row>
    <row r="297" spans="1:17" s="11" customFormat="1" ht="15" hidden="1" customHeight="1" x14ac:dyDescent="0.2">
      <c r="A297" s="12"/>
      <c r="B297" s="12"/>
      <c r="C297" s="12"/>
      <c r="D297" s="12"/>
      <c r="E297" s="12"/>
      <c r="F297" s="12"/>
      <c r="G297" s="13"/>
      <c r="H297" s="13"/>
      <c r="I297" s="13"/>
      <c r="J297" s="13"/>
      <c r="K297" s="13"/>
      <c r="L297" s="13"/>
      <c r="M297" s="13"/>
      <c r="N297" s="13"/>
      <c r="O297" s="13"/>
      <c r="P297" s="13"/>
      <c r="Q297" s="13"/>
    </row>
    <row r="298" spans="1:17" s="11" customFormat="1" ht="15" hidden="1" customHeight="1" x14ac:dyDescent="0.2">
      <c r="A298" s="12"/>
      <c r="B298" s="12"/>
      <c r="C298" s="12"/>
      <c r="D298" s="12"/>
      <c r="E298" s="12"/>
      <c r="F298" s="12"/>
      <c r="G298" s="13"/>
      <c r="H298" s="13"/>
      <c r="I298" s="13"/>
      <c r="J298" s="13"/>
      <c r="K298" s="13"/>
      <c r="L298" s="13"/>
      <c r="M298" s="13"/>
      <c r="N298" s="13"/>
      <c r="O298" s="13"/>
      <c r="P298" s="13"/>
      <c r="Q298" s="13"/>
    </row>
    <row r="299" spans="1:17" s="11" customFormat="1" ht="15" hidden="1" customHeight="1" x14ac:dyDescent="0.2">
      <c r="A299" s="12"/>
      <c r="B299" s="12"/>
      <c r="C299" s="12"/>
      <c r="D299" s="12"/>
      <c r="E299" s="12"/>
      <c r="F299" s="12"/>
      <c r="G299" s="13"/>
      <c r="H299" s="13"/>
      <c r="I299" s="13"/>
      <c r="J299" s="13"/>
      <c r="K299" s="13"/>
      <c r="L299" s="13"/>
      <c r="M299" s="13"/>
      <c r="N299" s="13"/>
      <c r="O299" s="13"/>
      <c r="P299" s="13"/>
      <c r="Q299" s="13"/>
    </row>
    <row r="300" spans="1:17" s="11" customFormat="1" ht="15" hidden="1" customHeight="1" x14ac:dyDescent="0.2">
      <c r="A300" s="12"/>
      <c r="B300" s="12"/>
      <c r="C300" s="12"/>
      <c r="D300" s="12"/>
      <c r="E300" s="12"/>
      <c r="F300" s="12"/>
      <c r="G300" s="13"/>
      <c r="H300" s="13"/>
      <c r="I300" s="13"/>
      <c r="J300" s="13"/>
      <c r="K300" s="13"/>
      <c r="L300" s="13"/>
      <c r="M300" s="13"/>
      <c r="N300" s="13"/>
      <c r="O300" s="13"/>
      <c r="P300" s="13"/>
      <c r="Q300" s="13"/>
    </row>
    <row r="301" spans="1:17" s="11" customFormat="1" ht="15" hidden="1" customHeight="1" x14ac:dyDescent="0.2">
      <c r="A301" s="12"/>
      <c r="B301" s="12"/>
      <c r="C301" s="12"/>
      <c r="D301" s="12"/>
      <c r="E301" s="12"/>
      <c r="F301" s="12"/>
      <c r="G301" s="13"/>
      <c r="H301" s="13"/>
      <c r="I301" s="13"/>
      <c r="J301" s="13"/>
      <c r="K301" s="13"/>
      <c r="L301" s="13"/>
      <c r="M301" s="13"/>
      <c r="N301" s="13"/>
      <c r="O301" s="13"/>
      <c r="P301" s="13"/>
      <c r="Q301" s="13"/>
    </row>
    <row r="302" spans="1:17" s="11" customFormat="1" ht="15" hidden="1" customHeight="1" x14ac:dyDescent="0.2">
      <c r="A302" s="12"/>
      <c r="B302" s="12"/>
      <c r="C302" s="12"/>
      <c r="D302" s="12"/>
      <c r="E302" s="12"/>
      <c r="F302" s="12"/>
      <c r="G302" s="13"/>
      <c r="H302" s="13"/>
      <c r="I302" s="13"/>
      <c r="J302" s="13"/>
      <c r="K302" s="13"/>
      <c r="L302" s="13"/>
      <c r="M302" s="13"/>
      <c r="N302" s="13"/>
      <c r="O302" s="13"/>
      <c r="P302" s="13"/>
      <c r="Q302" s="13"/>
    </row>
    <row r="303" spans="1:17" s="11" customFormat="1" ht="15" hidden="1" customHeight="1" x14ac:dyDescent="0.2">
      <c r="A303" s="12"/>
      <c r="B303" s="12"/>
      <c r="C303" s="12"/>
      <c r="D303" s="12"/>
      <c r="E303" s="12"/>
      <c r="F303" s="12"/>
      <c r="G303" s="13"/>
      <c r="H303" s="13"/>
      <c r="I303" s="13"/>
      <c r="J303" s="13"/>
      <c r="K303" s="13"/>
      <c r="L303" s="13"/>
      <c r="M303" s="13"/>
      <c r="N303" s="13"/>
      <c r="O303" s="13"/>
      <c r="P303" s="13"/>
      <c r="Q303" s="13"/>
    </row>
    <row r="304" spans="1:17" s="11" customFormat="1" ht="15" hidden="1" customHeight="1" x14ac:dyDescent="0.2">
      <c r="A304" s="12"/>
      <c r="B304" s="12"/>
      <c r="C304" s="12"/>
      <c r="D304" s="12"/>
      <c r="E304" s="12"/>
      <c r="F304" s="12"/>
      <c r="G304" s="13"/>
      <c r="H304" s="13"/>
      <c r="I304" s="13"/>
      <c r="J304" s="13"/>
      <c r="K304" s="13"/>
      <c r="L304" s="13"/>
      <c r="M304" s="13"/>
      <c r="N304" s="13"/>
      <c r="O304" s="13"/>
      <c r="P304" s="13"/>
      <c r="Q304" s="13"/>
    </row>
    <row r="305" spans="1:17" s="11" customFormat="1" ht="15" hidden="1" customHeight="1" x14ac:dyDescent="0.2">
      <c r="A305" s="12"/>
      <c r="B305" s="12"/>
      <c r="C305" s="12"/>
      <c r="D305" s="12"/>
      <c r="E305" s="12"/>
      <c r="F305" s="12"/>
      <c r="G305" s="13"/>
      <c r="H305" s="13"/>
      <c r="I305" s="13"/>
      <c r="J305" s="13"/>
      <c r="K305" s="13"/>
      <c r="L305" s="13"/>
      <c r="M305" s="13"/>
      <c r="N305" s="13"/>
      <c r="O305" s="13"/>
      <c r="P305" s="13"/>
      <c r="Q305" s="13"/>
    </row>
    <row r="306" spans="1:17" s="11" customFormat="1" ht="15" hidden="1" customHeight="1" x14ac:dyDescent="0.2">
      <c r="A306" s="12"/>
      <c r="B306" s="12"/>
      <c r="C306" s="12"/>
      <c r="D306" s="12"/>
      <c r="E306" s="12"/>
      <c r="F306" s="12"/>
      <c r="G306" s="13"/>
      <c r="H306" s="13"/>
      <c r="I306" s="13"/>
      <c r="J306" s="13"/>
      <c r="K306" s="13"/>
      <c r="L306" s="13"/>
      <c r="M306" s="13"/>
      <c r="N306" s="13"/>
      <c r="O306" s="13"/>
      <c r="P306" s="13"/>
      <c r="Q306" s="13"/>
    </row>
    <row r="307" spans="1:17" s="11" customFormat="1" ht="15" hidden="1" customHeight="1" x14ac:dyDescent="0.2">
      <c r="A307" s="12"/>
      <c r="B307" s="12"/>
      <c r="C307" s="12"/>
      <c r="D307" s="12"/>
      <c r="E307" s="12"/>
      <c r="F307" s="12"/>
      <c r="G307" s="13"/>
      <c r="H307" s="13"/>
      <c r="I307" s="13"/>
      <c r="J307" s="13"/>
      <c r="K307" s="13"/>
      <c r="L307" s="13"/>
      <c r="M307" s="13"/>
      <c r="N307" s="13"/>
      <c r="O307" s="13"/>
      <c r="P307" s="13"/>
      <c r="Q307" s="13"/>
    </row>
    <row r="308" spans="1:17" s="11" customFormat="1" ht="15" hidden="1" customHeight="1" x14ac:dyDescent="0.2">
      <c r="A308" s="12"/>
      <c r="B308" s="12"/>
      <c r="C308" s="12"/>
      <c r="D308" s="12"/>
      <c r="E308" s="12"/>
      <c r="F308" s="12"/>
      <c r="G308" s="13"/>
      <c r="H308" s="13"/>
      <c r="I308" s="13"/>
      <c r="J308" s="13"/>
      <c r="K308" s="13"/>
      <c r="L308" s="13"/>
      <c r="M308" s="13"/>
      <c r="N308" s="13"/>
      <c r="O308" s="13"/>
      <c r="P308" s="13"/>
      <c r="Q308" s="13"/>
    </row>
    <row r="309" spans="1:17" s="11" customFormat="1" ht="15" hidden="1" customHeight="1" x14ac:dyDescent="0.2">
      <c r="A309" s="12"/>
      <c r="B309" s="12"/>
      <c r="C309" s="12"/>
      <c r="D309" s="12"/>
      <c r="E309" s="12"/>
      <c r="F309" s="12"/>
      <c r="G309" s="13"/>
      <c r="H309" s="13"/>
      <c r="I309" s="13"/>
      <c r="J309" s="13"/>
      <c r="K309" s="13"/>
      <c r="L309" s="13"/>
      <c r="M309" s="13"/>
      <c r="N309" s="13"/>
      <c r="O309" s="13"/>
      <c r="P309" s="13"/>
      <c r="Q309" s="13"/>
    </row>
    <row r="310" spans="1:17" s="11" customFormat="1" ht="15" hidden="1" customHeight="1" x14ac:dyDescent="0.2">
      <c r="A310" s="12"/>
      <c r="B310" s="12"/>
      <c r="C310" s="12"/>
      <c r="D310" s="12"/>
      <c r="E310" s="12"/>
      <c r="F310" s="12"/>
      <c r="G310" s="13"/>
      <c r="H310" s="13"/>
      <c r="I310" s="13"/>
      <c r="J310" s="13"/>
      <c r="K310" s="13"/>
      <c r="L310" s="13"/>
      <c r="M310" s="13"/>
      <c r="N310" s="13"/>
      <c r="O310" s="13"/>
      <c r="P310" s="13"/>
      <c r="Q310" s="13"/>
    </row>
    <row r="311" spans="1:17" s="11" customFormat="1" ht="15" hidden="1" customHeight="1" x14ac:dyDescent="0.2">
      <c r="A311" s="12"/>
      <c r="B311" s="12"/>
      <c r="C311" s="12"/>
      <c r="D311" s="12"/>
      <c r="E311" s="12"/>
      <c r="F311" s="12"/>
      <c r="G311" s="13"/>
      <c r="H311" s="13"/>
      <c r="I311" s="13"/>
      <c r="J311" s="13"/>
      <c r="K311" s="13"/>
      <c r="L311" s="13"/>
      <c r="M311" s="13"/>
      <c r="N311" s="13"/>
      <c r="O311" s="13"/>
      <c r="P311" s="13"/>
      <c r="Q311" s="13"/>
    </row>
    <row r="312" spans="1:17" s="11" customFormat="1" ht="15" hidden="1" customHeight="1" x14ac:dyDescent="0.2">
      <c r="A312" s="12"/>
      <c r="B312" s="12"/>
      <c r="C312" s="12"/>
      <c r="D312" s="12"/>
      <c r="E312" s="12"/>
      <c r="F312" s="12"/>
      <c r="G312" s="13"/>
      <c r="H312" s="13"/>
      <c r="I312" s="13"/>
      <c r="J312" s="13"/>
      <c r="K312" s="13"/>
      <c r="L312" s="13"/>
      <c r="M312" s="13"/>
      <c r="N312" s="13"/>
      <c r="O312" s="13"/>
      <c r="P312" s="13"/>
      <c r="Q312" s="13"/>
    </row>
    <row r="313" spans="1:17" hidden="1" x14ac:dyDescent="0.25"/>
    <row r="314" spans="1:17" hidden="1" x14ac:dyDescent="0.25"/>
    <row r="315" spans="1:17" hidden="1" x14ac:dyDescent="0.25"/>
    <row r="316" spans="1:17" hidden="1" x14ac:dyDescent="0.25"/>
    <row r="317" spans="1:17" hidden="1" x14ac:dyDescent="0.25"/>
    <row r="318" spans="1:17" hidden="1" x14ac:dyDescent="0.25"/>
    <row r="319" spans="1:17" hidden="1" x14ac:dyDescent="0.25"/>
    <row r="320" spans="1:17"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sheetData>
  <sheetProtection algorithmName="SHA-512" hashValue="9nNVwsKxrBZnByu4Qh7lQE8lVT+Rk2eDE00jSiMZME9KNLoS6IQSWq0zdS4VGBOY30SOBFQQE73+gbCbqWT7Cg==" saltValue="K/yY3YkvcxNX6jm9q+827Q==" spinCount="100000" sheet="1" objects="1" scenarios="1"/>
  <mergeCells count="524">
    <mergeCell ref="J134:K134"/>
    <mergeCell ref="L118:M118"/>
    <mergeCell ref="L119:M119"/>
    <mergeCell ref="L120:M120"/>
    <mergeCell ref="L121:M121"/>
    <mergeCell ref="L122:M122"/>
    <mergeCell ref="L123:M123"/>
    <mergeCell ref="L124:M124"/>
    <mergeCell ref="L125:M125"/>
    <mergeCell ref="L126:M126"/>
    <mergeCell ref="L127:M127"/>
    <mergeCell ref="L128:M128"/>
    <mergeCell ref="L129:M129"/>
    <mergeCell ref="L130:M130"/>
    <mergeCell ref="L131:M132"/>
    <mergeCell ref="L133:M133"/>
    <mergeCell ref="L134:M134"/>
    <mergeCell ref="J124:K124"/>
    <mergeCell ref="J125:K125"/>
    <mergeCell ref="J126:K126"/>
    <mergeCell ref="J127:K127"/>
    <mergeCell ref="J128:K128"/>
    <mergeCell ref="J129:K129"/>
    <mergeCell ref="J130:K130"/>
    <mergeCell ref="J131:K132"/>
    <mergeCell ref="J133:K133"/>
    <mergeCell ref="J118:K118"/>
    <mergeCell ref="J119:K119"/>
    <mergeCell ref="J120:K120"/>
    <mergeCell ref="J121:K121"/>
    <mergeCell ref="J122:K122"/>
    <mergeCell ref="J123:K123"/>
    <mergeCell ref="H125:I125"/>
    <mergeCell ref="H126:I126"/>
    <mergeCell ref="H127:I127"/>
    <mergeCell ref="H128:I128"/>
    <mergeCell ref="H129:I129"/>
    <mergeCell ref="H130:I130"/>
    <mergeCell ref="H131:I132"/>
    <mergeCell ref="H133:I133"/>
    <mergeCell ref="H121:I121"/>
    <mergeCell ref="H122:I122"/>
    <mergeCell ref="H123:I123"/>
    <mergeCell ref="H124:I124"/>
    <mergeCell ref="H134:I134"/>
    <mergeCell ref="D131:E132"/>
    <mergeCell ref="D133:E133"/>
    <mergeCell ref="D134:E134"/>
    <mergeCell ref="D118:E118"/>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2"/>
    <mergeCell ref="F133:G133"/>
    <mergeCell ref="F134:G134"/>
    <mergeCell ref="H118:I118"/>
    <mergeCell ref="H119:I119"/>
    <mergeCell ref="H120:I120"/>
    <mergeCell ref="B131:C132"/>
    <mergeCell ref="B133:C134"/>
    <mergeCell ref="D119:E119"/>
    <mergeCell ref="D120:E120"/>
    <mergeCell ref="D121:E121"/>
    <mergeCell ref="D122:E122"/>
    <mergeCell ref="D123:E123"/>
    <mergeCell ref="D124:E124"/>
    <mergeCell ref="D125:E125"/>
    <mergeCell ref="D126:E126"/>
    <mergeCell ref="B118:C118"/>
    <mergeCell ref="B119:C119"/>
    <mergeCell ref="B120:C120"/>
    <mergeCell ref="B121:C130"/>
    <mergeCell ref="D156:G156"/>
    <mergeCell ref="D157:G157"/>
    <mergeCell ref="D158:G158"/>
    <mergeCell ref="D159:G159"/>
    <mergeCell ref="D160:G160"/>
    <mergeCell ref="D151:G151"/>
    <mergeCell ref="D152:G152"/>
    <mergeCell ref="D153:G153"/>
    <mergeCell ref="D154:G154"/>
    <mergeCell ref="D155:G155"/>
    <mergeCell ref="D144:G144"/>
    <mergeCell ref="D145:G145"/>
    <mergeCell ref="D146:G146"/>
    <mergeCell ref="D147:G147"/>
    <mergeCell ref="D148:G148"/>
    <mergeCell ref="D149:G149"/>
    <mergeCell ref="D150:G150"/>
    <mergeCell ref="B143:C150"/>
    <mergeCell ref="B151:C151"/>
    <mergeCell ref="B152:C154"/>
    <mergeCell ref="D91:E91"/>
    <mergeCell ref="D142:G142"/>
    <mergeCell ref="D143:G143"/>
    <mergeCell ref="A101:F101"/>
    <mergeCell ref="E109:F109"/>
    <mergeCell ref="E110:F110"/>
    <mergeCell ref="E111:F111"/>
    <mergeCell ref="C107:D107"/>
    <mergeCell ref="C108:D108"/>
    <mergeCell ref="C109:D109"/>
    <mergeCell ref="B139:I139"/>
    <mergeCell ref="B140:I140"/>
    <mergeCell ref="A115:J115"/>
    <mergeCell ref="D127:E127"/>
    <mergeCell ref="D128:E128"/>
    <mergeCell ref="D129:E129"/>
    <mergeCell ref="D130:E130"/>
    <mergeCell ref="C106:D106"/>
    <mergeCell ref="C110:D110"/>
    <mergeCell ref="C111:D111"/>
    <mergeCell ref="E105:F105"/>
    <mergeCell ref="E106:F106"/>
    <mergeCell ref="E107:F107"/>
    <mergeCell ref="E108:F108"/>
    <mergeCell ref="B102:D103"/>
    <mergeCell ref="E102:F103"/>
    <mergeCell ref="A3:F3"/>
    <mergeCell ref="D7:E7"/>
    <mergeCell ref="F7:G7"/>
    <mergeCell ref="D6:G6"/>
    <mergeCell ref="H6:I7"/>
    <mergeCell ref="H8:I8"/>
    <mergeCell ref="H9:I10"/>
    <mergeCell ref="B9:C10"/>
    <mergeCell ref="D8:E8"/>
    <mergeCell ref="F8:G8"/>
    <mergeCell ref="D9:E9"/>
    <mergeCell ref="F9:G9"/>
    <mergeCell ref="D10:E10"/>
    <mergeCell ref="F10:G10"/>
    <mergeCell ref="B5:I5"/>
    <mergeCell ref="D13:E13"/>
    <mergeCell ref="F13:G13"/>
    <mergeCell ref="D14:E14"/>
    <mergeCell ref="F14:G14"/>
    <mergeCell ref="D15:E15"/>
    <mergeCell ref="F15:G15"/>
    <mergeCell ref="D16:E16"/>
    <mergeCell ref="E104:F104"/>
    <mergeCell ref="C104:D104"/>
    <mergeCell ref="A73:F73"/>
    <mergeCell ref="H90:P90"/>
    <mergeCell ref="A75:F76"/>
    <mergeCell ref="C91:C92"/>
    <mergeCell ref="B11:C11"/>
    <mergeCell ref="B12:C12"/>
    <mergeCell ref="B13:C13"/>
    <mergeCell ref="B14:C14"/>
    <mergeCell ref="B15:C15"/>
    <mergeCell ref="B16:C16"/>
    <mergeCell ref="D11:E11"/>
    <mergeCell ref="F11:G11"/>
    <mergeCell ref="D12:E12"/>
    <mergeCell ref="H12:I12"/>
    <mergeCell ref="H13:I13"/>
    <mergeCell ref="B20:C21"/>
    <mergeCell ref="J20:K21"/>
    <mergeCell ref="D21:E21"/>
    <mergeCell ref="F21:G21"/>
    <mergeCell ref="D20:I20"/>
    <mergeCell ref="H21:I21"/>
    <mergeCell ref="F12:G12"/>
    <mergeCell ref="F16:G16"/>
    <mergeCell ref="H11:I11"/>
    <mergeCell ref="H14:I14"/>
    <mergeCell ref="H15:I15"/>
    <mergeCell ref="H16:I16"/>
    <mergeCell ref="B6:C7"/>
    <mergeCell ref="B8:C8"/>
    <mergeCell ref="B22:C22"/>
    <mergeCell ref="D22:E22"/>
    <mergeCell ref="F22:G22"/>
    <mergeCell ref="B19:K19"/>
    <mergeCell ref="J22:K22"/>
    <mergeCell ref="B23:C24"/>
    <mergeCell ref="J23:K24"/>
    <mergeCell ref="H22:I22"/>
    <mergeCell ref="D23:E24"/>
    <mergeCell ref="F23:G24"/>
    <mergeCell ref="H23:I24"/>
    <mergeCell ref="B30:C30"/>
    <mergeCell ref="D30:E30"/>
    <mergeCell ref="F30:G30"/>
    <mergeCell ref="J30:K30"/>
    <mergeCell ref="H28:I28"/>
    <mergeCell ref="H29:I29"/>
    <mergeCell ref="H30:I30"/>
    <mergeCell ref="B25:C25"/>
    <mergeCell ref="D25:E25"/>
    <mergeCell ref="F25:G25"/>
    <mergeCell ref="J25:K25"/>
    <mergeCell ref="B26:C26"/>
    <mergeCell ref="D26:E26"/>
    <mergeCell ref="F26:G26"/>
    <mergeCell ref="J26:K26"/>
    <mergeCell ref="B27:C27"/>
    <mergeCell ref="D27:E27"/>
    <mergeCell ref="F27:G27"/>
    <mergeCell ref="J27:K27"/>
    <mergeCell ref="H25:I25"/>
    <mergeCell ref="H26:I26"/>
    <mergeCell ref="H27:I27"/>
    <mergeCell ref="L37:M37"/>
    <mergeCell ref="B38:C39"/>
    <mergeCell ref="D38:E39"/>
    <mergeCell ref="F38:G39"/>
    <mergeCell ref="H38:I39"/>
    <mergeCell ref="L38:M39"/>
    <mergeCell ref="B31:C31"/>
    <mergeCell ref="D31:E31"/>
    <mergeCell ref="F31:G31"/>
    <mergeCell ref="H31:I31"/>
    <mergeCell ref="J31:K31"/>
    <mergeCell ref="B35:C36"/>
    <mergeCell ref="D35:I35"/>
    <mergeCell ref="L35:M36"/>
    <mergeCell ref="D36:E36"/>
    <mergeCell ref="F36:G36"/>
    <mergeCell ref="H36:I36"/>
    <mergeCell ref="B34:K34"/>
    <mergeCell ref="J36:K36"/>
    <mergeCell ref="B28:C28"/>
    <mergeCell ref="L42:M42"/>
    <mergeCell ref="B43:C43"/>
    <mergeCell ref="D43:E43"/>
    <mergeCell ref="F43:G43"/>
    <mergeCell ref="H43:I43"/>
    <mergeCell ref="L43:M43"/>
    <mergeCell ref="B40:C40"/>
    <mergeCell ref="D40:E40"/>
    <mergeCell ref="F40:G40"/>
    <mergeCell ref="H40:I40"/>
    <mergeCell ref="L40:M40"/>
    <mergeCell ref="B41:C41"/>
    <mergeCell ref="D41:E41"/>
    <mergeCell ref="F41:G41"/>
    <mergeCell ref="H41:I41"/>
    <mergeCell ref="L41:M41"/>
    <mergeCell ref="B44:C44"/>
    <mergeCell ref="D44:E44"/>
    <mergeCell ref="F44:G44"/>
    <mergeCell ref="H44:I44"/>
    <mergeCell ref="L44:M44"/>
    <mergeCell ref="B45:C45"/>
    <mergeCell ref="D45:E45"/>
    <mergeCell ref="F45:G45"/>
    <mergeCell ref="H45:I45"/>
    <mergeCell ref="L45:M45"/>
    <mergeCell ref="D28:E28"/>
    <mergeCell ref="F28:G28"/>
    <mergeCell ref="J28:K28"/>
    <mergeCell ref="B29:C29"/>
    <mergeCell ref="D29:E29"/>
    <mergeCell ref="F29:G29"/>
    <mergeCell ref="J29:K29"/>
    <mergeCell ref="B48:K48"/>
    <mergeCell ref="J37:K37"/>
    <mergeCell ref="J38:K39"/>
    <mergeCell ref="J40:K40"/>
    <mergeCell ref="J41:K41"/>
    <mergeCell ref="J42:K42"/>
    <mergeCell ref="J43:K43"/>
    <mergeCell ref="B42:C42"/>
    <mergeCell ref="D42:E42"/>
    <mergeCell ref="F42:G42"/>
    <mergeCell ref="H42:I42"/>
    <mergeCell ref="B37:C37"/>
    <mergeCell ref="D37:E37"/>
    <mergeCell ref="F37:G37"/>
    <mergeCell ref="H37:I37"/>
    <mergeCell ref="J44:K44"/>
    <mergeCell ref="J45:K45"/>
    <mergeCell ref="B49:C50"/>
    <mergeCell ref="D49:I49"/>
    <mergeCell ref="J49:K50"/>
    <mergeCell ref="D50:E50"/>
    <mergeCell ref="F50:G50"/>
    <mergeCell ref="H50:I50"/>
    <mergeCell ref="B51:C51"/>
    <mergeCell ref="D51:E51"/>
    <mergeCell ref="F51:G51"/>
    <mergeCell ref="H51:I51"/>
    <mergeCell ref="J51:K51"/>
    <mergeCell ref="B52:C53"/>
    <mergeCell ref="D52:E53"/>
    <mergeCell ref="F52:G53"/>
    <mergeCell ref="H52:I53"/>
    <mergeCell ref="J52:K53"/>
    <mergeCell ref="B54:C54"/>
    <mergeCell ref="D54:E54"/>
    <mergeCell ref="F54:G54"/>
    <mergeCell ref="H54:I54"/>
    <mergeCell ref="J54:K54"/>
    <mergeCell ref="B55:C55"/>
    <mergeCell ref="D55:E55"/>
    <mergeCell ref="F55:G55"/>
    <mergeCell ref="H55:I55"/>
    <mergeCell ref="J55:K55"/>
    <mergeCell ref="B56:C56"/>
    <mergeCell ref="D56:E56"/>
    <mergeCell ref="F56:G56"/>
    <mergeCell ref="H56:I56"/>
    <mergeCell ref="J56:K56"/>
    <mergeCell ref="B57:C57"/>
    <mergeCell ref="D57:E57"/>
    <mergeCell ref="F57:G57"/>
    <mergeCell ref="H57:I57"/>
    <mergeCell ref="J57:K57"/>
    <mergeCell ref="B58:C58"/>
    <mergeCell ref="D58:E58"/>
    <mergeCell ref="F58:G58"/>
    <mergeCell ref="H58:I58"/>
    <mergeCell ref="J58:K58"/>
    <mergeCell ref="D69:E69"/>
    <mergeCell ref="H75:M76"/>
    <mergeCell ref="J109:K109"/>
    <mergeCell ref="L109:M109"/>
    <mergeCell ref="J105:K106"/>
    <mergeCell ref="L105:M106"/>
    <mergeCell ref="A88:F88"/>
    <mergeCell ref="B59:C59"/>
    <mergeCell ref="D59:E59"/>
    <mergeCell ref="F59:G59"/>
    <mergeCell ref="H59:I59"/>
    <mergeCell ref="J59:K59"/>
    <mergeCell ref="B93:B95"/>
    <mergeCell ref="B96:B98"/>
    <mergeCell ref="B90:E90"/>
    <mergeCell ref="I104:N104"/>
    <mergeCell ref="B104:B106"/>
    <mergeCell ref="B107:B111"/>
    <mergeCell ref="J107:K107"/>
    <mergeCell ref="J108:K108"/>
    <mergeCell ref="L107:M107"/>
    <mergeCell ref="L108:M108"/>
    <mergeCell ref="B91:B92"/>
    <mergeCell ref="C105:D105"/>
    <mergeCell ref="B213:D213"/>
    <mergeCell ref="F209:G209"/>
    <mergeCell ref="F210:G210"/>
    <mergeCell ref="F211:G211"/>
    <mergeCell ref="F212:G212"/>
    <mergeCell ref="F213:G213"/>
    <mergeCell ref="B206:D206"/>
    <mergeCell ref="B214:G214"/>
    <mergeCell ref="A1:Q1"/>
    <mergeCell ref="B117:M117"/>
    <mergeCell ref="B62:E62"/>
    <mergeCell ref="B65:C65"/>
    <mergeCell ref="B66:C66"/>
    <mergeCell ref="B63:C63"/>
    <mergeCell ref="D63:E63"/>
    <mergeCell ref="B64:C64"/>
    <mergeCell ref="B67:C67"/>
    <mergeCell ref="B68:C68"/>
    <mergeCell ref="B69:C69"/>
    <mergeCell ref="D64:E64"/>
    <mergeCell ref="D65:E65"/>
    <mergeCell ref="D66:E66"/>
    <mergeCell ref="D67:E67"/>
    <mergeCell ref="D68:E68"/>
    <mergeCell ref="A201:J201"/>
    <mergeCell ref="B203:M203"/>
    <mergeCell ref="B204:M204"/>
    <mergeCell ref="F206:G206"/>
    <mergeCell ref="B207:G207"/>
    <mergeCell ref="B208:G208"/>
    <mergeCell ref="B209:D210"/>
    <mergeCell ref="B211:D211"/>
    <mergeCell ref="B212:D212"/>
    <mergeCell ref="F215:G215"/>
    <mergeCell ref="F216:G216"/>
    <mergeCell ref="F217:G217"/>
    <mergeCell ref="F218:G218"/>
    <mergeCell ref="F219:G219"/>
    <mergeCell ref="B215:D215"/>
    <mergeCell ref="B216:D216"/>
    <mergeCell ref="B217:D217"/>
    <mergeCell ref="B218:D218"/>
    <mergeCell ref="B219:D219"/>
    <mergeCell ref="B227:G227"/>
    <mergeCell ref="B228:D228"/>
    <mergeCell ref="F228:G228"/>
    <mergeCell ref="B229:D229"/>
    <mergeCell ref="F229:G229"/>
    <mergeCell ref="B230:D230"/>
    <mergeCell ref="F230:G230"/>
    <mergeCell ref="B220:G220"/>
    <mergeCell ref="B221:G221"/>
    <mergeCell ref="B222:D222"/>
    <mergeCell ref="F222:G222"/>
    <mergeCell ref="B223:D223"/>
    <mergeCell ref="F223:G223"/>
    <mergeCell ref="B224:G224"/>
    <mergeCell ref="B225:D225"/>
    <mergeCell ref="F225:G225"/>
    <mergeCell ref="B231:D231"/>
    <mergeCell ref="F231:G231"/>
    <mergeCell ref="A137:J137"/>
    <mergeCell ref="B142:C142"/>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B226:D226"/>
    <mergeCell ref="F226:G226"/>
    <mergeCell ref="H160:I160"/>
    <mergeCell ref="H161:I161"/>
    <mergeCell ref="H162:I162"/>
    <mergeCell ref="D163:G163"/>
    <mergeCell ref="H163:I163"/>
    <mergeCell ref="D164:G164"/>
    <mergeCell ref="H164:I164"/>
    <mergeCell ref="D165:G165"/>
    <mergeCell ref="H165:I165"/>
    <mergeCell ref="D161:G161"/>
    <mergeCell ref="D162:G162"/>
    <mergeCell ref="H166:I166"/>
    <mergeCell ref="D167:G167"/>
    <mergeCell ref="H167:I167"/>
    <mergeCell ref="D168:G168"/>
    <mergeCell ref="H168:I168"/>
    <mergeCell ref="D169:G169"/>
    <mergeCell ref="H169:I169"/>
    <mergeCell ref="D170:G170"/>
    <mergeCell ref="H170:I170"/>
    <mergeCell ref="H171:I171"/>
    <mergeCell ref="D172:G172"/>
    <mergeCell ref="H172:I172"/>
    <mergeCell ref="D173:G173"/>
    <mergeCell ref="H173:I173"/>
    <mergeCell ref="D174:G174"/>
    <mergeCell ref="H174:I174"/>
    <mergeCell ref="D175:G175"/>
    <mergeCell ref="H175:I175"/>
    <mergeCell ref="B197:C198"/>
    <mergeCell ref="B188:C188"/>
    <mergeCell ref="B194:C194"/>
    <mergeCell ref="B184:C184"/>
    <mergeCell ref="B185:C185"/>
    <mergeCell ref="D191:G191"/>
    <mergeCell ref="H191:I191"/>
    <mergeCell ref="D192:G192"/>
    <mergeCell ref="H192:I192"/>
    <mergeCell ref="D193:G193"/>
    <mergeCell ref="H193:I193"/>
    <mergeCell ref="D194:G194"/>
    <mergeCell ref="H194:I194"/>
    <mergeCell ref="D186:G186"/>
    <mergeCell ref="H186:I186"/>
    <mergeCell ref="D187:G187"/>
    <mergeCell ref="H187:I187"/>
    <mergeCell ref="D188:G188"/>
    <mergeCell ref="H188:I188"/>
    <mergeCell ref="D189:G189"/>
    <mergeCell ref="H189:I189"/>
    <mergeCell ref="D190:G190"/>
    <mergeCell ref="H190:I190"/>
    <mergeCell ref="D197:G197"/>
    <mergeCell ref="H176:I176"/>
    <mergeCell ref="D177:G177"/>
    <mergeCell ref="H177:I177"/>
    <mergeCell ref="B195:C195"/>
    <mergeCell ref="B196:C196"/>
    <mergeCell ref="D181:G181"/>
    <mergeCell ref="H181:I181"/>
    <mergeCell ref="D182:G182"/>
    <mergeCell ref="H182:I182"/>
    <mergeCell ref="D178:G178"/>
    <mergeCell ref="H178:I178"/>
    <mergeCell ref="D179:G179"/>
    <mergeCell ref="H179:I179"/>
    <mergeCell ref="D180:G180"/>
    <mergeCell ref="H180:I180"/>
    <mergeCell ref="H196:I196"/>
    <mergeCell ref="H197:I197"/>
    <mergeCell ref="D198:G198"/>
    <mergeCell ref="H198:I198"/>
    <mergeCell ref="D195:G195"/>
    <mergeCell ref="H195:I195"/>
    <mergeCell ref="D183:G183"/>
    <mergeCell ref="H183:I183"/>
    <mergeCell ref="D184:G184"/>
    <mergeCell ref="H184:I184"/>
    <mergeCell ref="D185:G185"/>
    <mergeCell ref="H185:I185"/>
    <mergeCell ref="B155:C161"/>
    <mergeCell ref="B162:C170"/>
    <mergeCell ref="B171:C174"/>
    <mergeCell ref="B176:C178"/>
    <mergeCell ref="B179:C183"/>
    <mergeCell ref="B186:C187"/>
    <mergeCell ref="B189:C193"/>
    <mergeCell ref="B175:C175"/>
    <mergeCell ref="D196:G196"/>
    <mergeCell ref="D176:G176"/>
    <mergeCell ref="D171:G171"/>
    <mergeCell ref="D166:G166"/>
  </mergeCells>
  <pageMargins left="0.7" right="0.7" top="0.75" bottom="0.75" header="0.3" footer="0.3"/>
  <pageSetup orientation="portrait" horizontalDpi="300" verticalDpi="0" r:id="rId1"/>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0" tint="-0.249977111117893"/>
  </sheetPr>
  <dimension ref="A1:T241"/>
  <sheetViews>
    <sheetView zoomScaleNormal="100" workbookViewId="0">
      <pane ySplit="3" topLeftCell="A4" activePane="bottomLeft" state="frozen"/>
      <selection pane="bottomLeft" activeCell="L15" sqref="L15"/>
    </sheetView>
  </sheetViews>
  <sheetFormatPr defaultColWidth="0" defaultRowHeight="15" zeroHeight="1" x14ac:dyDescent="0.25"/>
  <cols>
    <col min="1" max="1" width="3.7109375" style="168" customWidth="1"/>
    <col min="2" max="10" width="9.140625" style="168" customWidth="1"/>
    <col min="11" max="11" width="21.28515625" style="168" customWidth="1"/>
    <col min="12" max="12" width="9.85546875" style="168" customWidth="1"/>
    <col min="13" max="13" width="8.5703125" style="168" customWidth="1"/>
    <col min="14" max="15" width="21.28515625" style="168" customWidth="1"/>
    <col min="16" max="16" width="9.140625" style="168" customWidth="1"/>
    <col min="17" max="16384" width="9.140625" style="168" hidden="1"/>
  </cols>
  <sheetData>
    <row r="1" spans="1:20" s="735" customFormat="1" ht="31.5" customHeight="1" x14ac:dyDescent="0.25">
      <c r="A1" s="2594" t="s">
        <v>216</v>
      </c>
      <c r="B1" s="2594"/>
      <c r="C1" s="2594"/>
      <c r="D1" s="2594"/>
      <c r="E1" s="2594"/>
      <c r="F1" s="2594"/>
      <c r="G1" s="2594"/>
      <c r="H1" s="2594"/>
      <c r="I1" s="2594"/>
      <c r="J1" s="2594"/>
      <c r="K1" s="2594"/>
      <c r="L1" s="2594"/>
      <c r="M1" s="2594"/>
      <c r="N1" s="2594"/>
      <c r="O1" s="2594"/>
      <c r="P1" s="2594"/>
      <c r="Q1" s="818"/>
      <c r="R1" s="818"/>
      <c r="S1" s="818"/>
      <c r="T1" s="818"/>
    </row>
    <row r="2" spans="1:20" ht="11.25" customHeight="1" x14ac:dyDescent="0.25">
      <c r="A2" s="2598" t="s">
        <v>2079</v>
      </c>
      <c r="B2" s="2598"/>
      <c r="C2" s="2598"/>
      <c r="D2" s="2598"/>
      <c r="E2" s="2598"/>
      <c r="F2" s="2598"/>
      <c r="G2" s="2598"/>
      <c r="H2" s="2598"/>
      <c r="I2" s="2598"/>
      <c r="J2" s="2598"/>
      <c r="K2" s="2598"/>
      <c r="L2" s="2598"/>
      <c r="M2" s="2598"/>
      <c r="N2" s="2598"/>
      <c r="O2" s="2598"/>
      <c r="P2" s="2598"/>
      <c r="Q2" s="1120"/>
      <c r="R2" s="229"/>
      <c r="S2" s="229"/>
      <c r="T2" s="229"/>
    </row>
    <row r="3" spans="1:20" ht="11.25" customHeight="1" x14ac:dyDescent="0.25">
      <c r="A3" s="2598"/>
      <c r="B3" s="2598"/>
      <c r="C3" s="2598"/>
      <c r="D3" s="2598"/>
      <c r="E3" s="2598"/>
      <c r="F3" s="2598"/>
      <c r="G3" s="2598"/>
      <c r="H3" s="2598"/>
      <c r="I3" s="2598"/>
      <c r="J3" s="2598"/>
      <c r="K3" s="2598"/>
      <c r="L3" s="2598"/>
      <c r="M3" s="2598"/>
      <c r="N3" s="2598"/>
      <c r="O3" s="2598"/>
      <c r="P3" s="2598"/>
      <c r="Q3" s="1120"/>
      <c r="R3" s="229"/>
      <c r="S3" s="229"/>
      <c r="T3" s="229"/>
    </row>
    <row r="4" spans="1:20" ht="18" customHeight="1" x14ac:dyDescent="0.25">
      <c r="A4" s="229"/>
      <c r="B4" s="229"/>
      <c r="C4" s="229"/>
      <c r="D4" s="229"/>
      <c r="E4" s="229"/>
      <c r="F4" s="229"/>
      <c r="G4" s="229"/>
      <c r="H4" s="229"/>
      <c r="I4" s="229"/>
      <c r="J4" s="229"/>
      <c r="K4" s="229"/>
      <c r="L4" s="229"/>
      <c r="M4" s="229"/>
      <c r="N4" s="229"/>
      <c r="O4" s="229"/>
      <c r="P4" s="229"/>
      <c r="Q4" s="229"/>
      <c r="R4" s="229"/>
      <c r="S4" s="229"/>
      <c r="T4" s="229"/>
    </row>
    <row r="5" spans="1:20" ht="18.75" x14ac:dyDescent="0.25">
      <c r="A5" s="2588" t="s">
        <v>217</v>
      </c>
      <c r="B5" s="2588"/>
      <c r="C5" s="2588"/>
      <c r="D5" s="2588"/>
      <c r="E5" s="2588"/>
      <c r="F5" s="229"/>
      <c r="G5" s="229"/>
      <c r="H5" s="229"/>
      <c r="I5" s="229"/>
      <c r="J5" s="229"/>
      <c r="K5" s="229"/>
      <c r="L5" s="229"/>
      <c r="M5" s="229"/>
      <c r="N5" s="229"/>
      <c r="O5" s="229"/>
      <c r="P5" s="229"/>
      <c r="Q5" s="229"/>
      <c r="R5" s="229"/>
      <c r="S5" s="229"/>
      <c r="T5" s="229"/>
    </row>
    <row r="6" spans="1:20" ht="9" customHeight="1" x14ac:dyDescent="0.25">
      <c r="A6" s="229"/>
      <c r="B6" s="229"/>
      <c r="C6" s="229"/>
      <c r="D6" s="229"/>
      <c r="E6" s="229"/>
      <c r="F6" s="229"/>
      <c r="G6" s="229"/>
      <c r="H6" s="229"/>
      <c r="I6" s="229"/>
      <c r="J6" s="229"/>
      <c r="K6" s="229"/>
      <c r="L6" s="229"/>
      <c r="M6" s="229"/>
      <c r="N6" s="229"/>
      <c r="O6" s="229"/>
      <c r="P6" s="229"/>
      <c r="Q6" s="229"/>
      <c r="R6" s="229"/>
      <c r="S6" s="229"/>
      <c r="T6" s="229"/>
    </row>
    <row r="7" spans="1:20" x14ac:dyDescent="0.25">
      <c r="A7" s="229"/>
      <c r="B7" s="2592" t="s">
        <v>218</v>
      </c>
      <c r="C7" s="2592"/>
      <c r="D7" s="2592"/>
      <c r="E7" s="2593"/>
      <c r="F7" s="2593"/>
      <c r="G7" s="2593"/>
      <c r="H7" s="2593"/>
      <c r="I7" s="229"/>
      <c r="J7" s="229"/>
      <c r="K7" s="229"/>
      <c r="L7" s="229"/>
      <c r="M7" s="229"/>
      <c r="N7" s="229"/>
      <c r="O7" s="229"/>
      <c r="P7" s="229"/>
      <c r="Q7" s="229"/>
      <c r="R7" s="229"/>
      <c r="S7" s="229"/>
      <c r="T7" s="229"/>
    </row>
    <row r="8" spans="1:20" x14ac:dyDescent="0.25">
      <c r="A8" s="229"/>
      <c r="B8" s="2592" t="s">
        <v>219</v>
      </c>
      <c r="C8" s="2592"/>
      <c r="D8" s="2592"/>
      <c r="E8" s="2593"/>
      <c r="F8" s="2593"/>
      <c r="G8" s="2593"/>
      <c r="H8" s="2593"/>
      <c r="I8" s="229"/>
      <c r="J8" s="229"/>
      <c r="K8" s="229"/>
      <c r="L8" s="229"/>
      <c r="M8" s="229"/>
      <c r="N8" s="229"/>
      <c r="O8" s="229"/>
      <c r="P8" s="229"/>
      <c r="Q8" s="229"/>
      <c r="R8" s="229"/>
      <c r="S8" s="229"/>
      <c r="T8" s="229"/>
    </row>
    <row r="9" spans="1:20" x14ac:dyDescent="0.25">
      <c r="A9" s="229"/>
      <c r="B9" s="2592" t="s">
        <v>220</v>
      </c>
      <c r="C9" s="2592"/>
      <c r="D9" s="2592"/>
      <c r="E9" s="2593"/>
      <c r="F9" s="2593"/>
      <c r="G9" s="2593"/>
      <c r="H9" s="2593"/>
      <c r="I9" s="229"/>
      <c r="J9" s="229"/>
      <c r="K9" s="229"/>
      <c r="L9" s="229"/>
      <c r="M9" s="229"/>
      <c r="N9" s="229"/>
      <c r="O9" s="229"/>
      <c r="P9" s="229"/>
      <c r="Q9" s="229"/>
      <c r="R9" s="229"/>
      <c r="S9" s="229"/>
      <c r="T9" s="229"/>
    </row>
    <row r="10" spans="1:20" ht="19.5" customHeight="1" x14ac:dyDescent="0.25">
      <c r="A10" s="229"/>
      <c r="B10" s="229"/>
      <c r="C10" s="229"/>
      <c r="D10" s="229"/>
      <c r="E10" s="229"/>
      <c r="F10" s="229"/>
      <c r="G10" s="229"/>
      <c r="H10" s="229"/>
      <c r="I10" s="229"/>
      <c r="J10" s="229"/>
      <c r="K10" s="229"/>
      <c r="L10" s="229"/>
      <c r="M10" s="229"/>
      <c r="N10" s="229"/>
      <c r="O10" s="229"/>
      <c r="P10" s="229"/>
      <c r="Q10" s="229"/>
      <c r="R10" s="229"/>
      <c r="S10" s="229"/>
      <c r="T10" s="229"/>
    </row>
    <row r="11" spans="1:20" ht="18.75" x14ac:dyDescent="0.25">
      <c r="A11" s="2588" t="s">
        <v>221</v>
      </c>
      <c r="B11" s="2588"/>
      <c r="C11" s="2588"/>
      <c r="D11" s="2588"/>
      <c r="E11" s="2588"/>
      <c r="F11" s="229"/>
      <c r="G11" s="229"/>
      <c r="H11" s="229"/>
      <c r="I11" s="229"/>
      <c r="J11" s="229"/>
      <c r="K11" s="229"/>
      <c r="L11" s="229"/>
      <c r="M11" s="229"/>
      <c r="N11" s="229"/>
      <c r="O11" s="229"/>
      <c r="P11" s="229"/>
      <c r="Q11" s="229"/>
      <c r="R11" s="229"/>
      <c r="S11" s="229"/>
      <c r="T11" s="229"/>
    </row>
    <row r="12" spans="1:20" ht="10.5" customHeight="1" x14ac:dyDescent="0.25">
      <c r="A12" s="229"/>
      <c r="B12" s="229"/>
      <c r="C12" s="229"/>
      <c r="D12" s="229"/>
      <c r="E12" s="229"/>
      <c r="F12" s="229"/>
      <c r="G12" s="229"/>
      <c r="H12" s="229"/>
      <c r="I12" s="229"/>
      <c r="J12" s="229"/>
      <c r="K12" s="229"/>
      <c r="L12" s="229"/>
      <c r="M12" s="229"/>
      <c r="N12" s="229"/>
      <c r="O12" s="229"/>
      <c r="P12" s="229"/>
      <c r="Q12" s="229"/>
      <c r="R12" s="229"/>
      <c r="S12" s="229"/>
      <c r="T12" s="229"/>
    </row>
    <row r="13" spans="1:20" ht="18.75" x14ac:dyDescent="0.3">
      <c r="A13" s="229"/>
      <c r="B13" s="820" t="s">
        <v>222</v>
      </c>
      <c r="C13" s="229"/>
      <c r="D13" s="229"/>
      <c r="E13" s="229"/>
      <c r="F13" s="229"/>
      <c r="G13" s="229"/>
      <c r="H13" s="229"/>
      <c r="I13" s="229"/>
      <c r="J13" s="229"/>
      <c r="K13" s="229"/>
      <c r="L13" s="229"/>
      <c r="M13" s="229"/>
      <c r="N13" s="229"/>
      <c r="O13" s="229"/>
      <c r="P13" s="229"/>
      <c r="Q13" s="229"/>
      <c r="R13" s="229"/>
      <c r="S13" s="229"/>
      <c r="T13" s="229"/>
    </row>
    <row r="14" spans="1:20" ht="9" customHeight="1" x14ac:dyDescent="0.25">
      <c r="A14" s="229"/>
      <c r="B14" s="229"/>
      <c r="C14" s="229"/>
      <c r="D14" s="229"/>
      <c r="E14" s="229"/>
      <c r="F14" s="229"/>
      <c r="G14" s="229"/>
      <c r="H14" s="229"/>
      <c r="I14" s="229"/>
      <c r="J14" s="229"/>
      <c r="K14" s="229"/>
      <c r="L14" s="229"/>
      <c r="M14" s="229"/>
      <c r="N14" s="229"/>
      <c r="O14" s="229"/>
      <c r="P14" s="229"/>
      <c r="Q14" s="229"/>
      <c r="R14" s="229"/>
      <c r="S14" s="229"/>
      <c r="T14" s="229"/>
    </row>
    <row r="15" spans="1:20" x14ac:dyDescent="0.25">
      <c r="A15" s="229"/>
      <c r="B15" s="297" t="s">
        <v>2082</v>
      </c>
      <c r="C15" s="229"/>
      <c r="D15" s="229"/>
      <c r="E15" s="229"/>
      <c r="F15" s="229"/>
      <c r="G15" s="229"/>
      <c r="H15" s="229"/>
      <c r="I15" s="229"/>
      <c r="J15" s="229"/>
      <c r="K15" s="229"/>
      <c r="L15" s="229"/>
      <c r="M15" s="229"/>
      <c r="N15" s="229"/>
      <c r="O15" s="229"/>
      <c r="P15" s="229"/>
      <c r="Q15" s="229"/>
      <c r="R15" s="229"/>
      <c r="S15" s="229"/>
      <c r="T15" s="229"/>
    </row>
    <row r="16" spans="1:20" x14ac:dyDescent="0.25">
      <c r="A16" s="229"/>
      <c r="B16" s="286" t="s">
        <v>2084</v>
      </c>
      <c r="C16" s="229"/>
      <c r="D16" s="229"/>
      <c r="E16" s="229"/>
      <c r="F16" s="229"/>
      <c r="G16" s="229"/>
      <c r="H16" s="229"/>
      <c r="I16" s="229"/>
      <c r="J16" s="229"/>
      <c r="K16" s="229"/>
      <c r="L16" s="229"/>
      <c r="M16" s="229"/>
      <c r="N16" s="229"/>
      <c r="O16" s="229"/>
      <c r="P16" s="229"/>
      <c r="Q16" s="229"/>
      <c r="R16" s="229"/>
      <c r="S16" s="229"/>
      <c r="T16" s="229"/>
    </row>
    <row r="17" spans="1:20" x14ac:dyDescent="0.25">
      <c r="A17" s="229"/>
      <c r="B17" s="1644" t="s">
        <v>0</v>
      </c>
      <c r="C17" s="1646"/>
      <c r="D17" s="1118"/>
      <c r="E17" s="229"/>
      <c r="F17" s="1644" t="s">
        <v>2</v>
      </c>
      <c r="G17" s="1646"/>
      <c r="H17" s="1119"/>
      <c r="I17" s="229"/>
      <c r="J17" s="229"/>
      <c r="K17" s="229"/>
      <c r="L17" s="229"/>
      <c r="M17" s="229"/>
      <c r="N17" s="229"/>
      <c r="O17" s="229"/>
      <c r="P17" s="229"/>
      <c r="Q17" s="298" t="b">
        <v>0</v>
      </c>
      <c r="R17" s="298" t="b">
        <v>0</v>
      </c>
      <c r="S17" s="229"/>
      <c r="T17" s="229"/>
    </row>
    <row r="18" spans="1:20" ht="12" customHeight="1" x14ac:dyDescent="0.25">
      <c r="A18" s="229"/>
      <c r="B18" s="229"/>
      <c r="C18" s="229"/>
      <c r="D18" s="229"/>
      <c r="E18" s="229"/>
      <c r="F18" s="229"/>
      <c r="G18" s="229"/>
      <c r="H18" s="229"/>
      <c r="I18" s="229"/>
      <c r="J18" s="229"/>
      <c r="K18" s="229"/>
      <c r="L18" s="229"/>
      <c r="M18" s="229"/>
      <c r="N18" s="229"/>
      <c r="O18" s="229"/>
      <c r="P18" s="229"/>
      <c r="Q18" s="229"/>
      <c r="R18" s="229"/>
      <c r="S18" s="229"/>
      <c r="T18" s="229"/>
    </row>
    <row r="19" spans="1:20" x14ac:dyDescent="0.25">
      <c r="A19" s="229"/>
      <c r="B19" s="229" t="s">
        <v>2083</v>
      </c>
      <c r="C19" s="229"/>
      <c r="D19" s="229"/>
      <c r="E19" s="229"/>
      <c r="F19" s="229"/>
      <c r="G19" s="229"/>
      <c r="H19" s="229"/>
      <c r="I19" s="229"/>
      <c r="J19" s="229"/>
      <c r="K19" s="229"/>
      <c r="L19" s="229"/>
      <c r="M19" s="229"/>
      <c r="N19" s="229"/>
      <c r="O19" s="229"/>
      <c r="P19" s="229"/>
      <c r="Q19" s="229"/>
      <c r="R19" s="229"/>
      <c r="S19" s="229"/>
      <c r="T19" s="229"/>
    </row>
    <row r="20" spans="1:20" ht="39" customHeight="1" x14ac:dyDescent="0.25">
      <c r="A20" s="229"/>
      <c r="B20" s="2581"/>
      <c r="C20" s="2581"/>
      <c r="D20" s="2581"/>
      <c r="E20" s="2581"/>
      <c r="F20" s="2581"/>
      <c r="G20" s="2581"/>
      <c r="H20" s="2581"/>
      <c r="I20" s="2581"/>
      <c r="J20" s="2581"/>
      <c r="K20" s="2581"/>
      <c r="L20" s="2581"/>
      <c r="M20" s="2581"/>
      <c r="N20" s="2581"/>
      <c r="O20" s="2581"/>
      <c r="P20" s="229"/>
      <c r="Q20" s="229"/>
      <c r="R20" s="229"/>
      <c r="S20" s="229"/>
      <c r="T20" s="229"/>
    </row>
    <row r="21" spans="1:20" x14ac:dyDescent="0.25">
      <c r="A21" s="229"/>
      <c r="B21" s="229"/>
      <c r="C21" s="229"/>
      <c r="D21" s="229"/>
      <c r="E21" s="229"/>
      <c r="F21" s="229"/>
      <c r="G21" s="229"/>
      <c r="H21" s="229"/>
      <c r="I21" s="229"/>
      <c r="J21" s="229"/>
      <c r="K21" s="229"/>
      <c r="L21" s="229"/>
      <c r="M21" s="229"/>
      <c r="N21" s="229"/>
      <c r="O21" s="229"/>
      <c r="P21" s="229"/>
      <c r="Q21" s="229"/>
      <c r="R21" s="229"/>
      <c r="S21" s="229"/>
      <c r="T21" s="229"/>
    </row>
    <row r="22" spans="1:20" x14ac:dyDescent="0.25">
      <c r="A22" s="229"/>
      <c r="B22" s="297" t="s">
        <v>2080</v>
      </c>
      <c r="C22" s="229"/>
      <c r="D22" s="229"/>
      <c r="E22" s="229"/>
      <c r="F22" s="229"/>
      <c r="G22" s="229"/>
      <c r="H22" s="229"/>
      <c r="I22" s="229"/>
      <c r="J22" s="229"/>
      <c r="K22" s="229"/>
      <c r="L22" s="229"/>
      <c r="M22" s="229"/>
      <c r="N22" s="229"/>
      <c r="O22" s="229"/>
      <c r="P22" s="229"/>
      <c r="Q22" s="229"/>
      <c r="R22" s="229"/>
      <c r="S22" s="229"/>
      <c r="T22" s="229"/>
    </row>
    <row r="23" spans="1:20" x14ac:dyDescent="0.25">
      <c r="A23" s="229"/>
      <c r="B23" s="286" t="s">
        <v>1324</v>
      </c>
      <c r="C23" s="229"/>
      <c r="D23" s="229"/>
      <c r="E23" s="229"/>
      <c r="F23" s="229"/>
      <c r="G23" s="229"/>
      <c r="H23" s="229"/>
      <c r="I23" s="229"/>
      <c r="J23" s="229"/>
      <c r="K23" s="229"/>
      <c r="L23" s="229"/>
      <c r="M23" s="229"/>
      <c r="N23" s="229"/>
      <c r="O23" s="229"/>
      <c r="P23" s="229"/>
      <c r="Q23" s="229"/>
      <c r="R23" s="229"/>
      <c r="S23" s="229"/>
      <c r="T23" s="229"/>
    </row>
    <row r="24" spans="1:20" x14ac:dyDescent="0.25">
      <c r="A24" s="229"/>
      <c r="B24" s="286" t="s">
        <v>1325</v>
      </c>
      <c r="C24" s="229"/>
      <c r="D24" s="229"/>
      <c r="E24" s="819"/>
      <c r="F24" s="819"/>
      <c r="G24" s="229"/>
      <c r="H24" s="229"/>
      <c r="I24" s="229"/>
      <c r="J24" s="229"/>
      <c r="K24" s="229"/>
      <c r="L24" s="229"/>
      <c r="M24" s="229"/>
      <c r="N24" s="229"/>
      <c r="O24" s="229"/>
      <c r="P24" s="229"/>
      <c r="Q24" s="229"/>
      <c r="R24" s="229"/>
      <c r="S24" s="229"/>
      <c r="T24" s="229"/>
    </row>
    <row r="25" spans="1:20" ht="18" customHeight="1" x14ac:dyDescent="0.25">
      <c r="A25" s="229"/>
      <c r="B25" s="1644" t="s">
        <v>1327</v>
      </c>
      <c r="C25" s="1645"/>
      <c r="D25" s="1645"/>
      <c r="E25" s="1645"/>
      <c r="F25" s="1646"/>
      <c r="G25" s="794"/>
      <c r="H25" s="229"/>
      <c r="I25" s="1644" t="s">
        <v>1326</v>
      </c>
      <c r="J25" s="1645"/>
      <c r="K25" s="1645"/>
      <c r="L25" s="1646"/>
      <c r="M25" s="794"/>
      <c r="N25" s="229"/>
      <c r="O25" s="229"/>
      <c r="P25" s="229"/>
      <c r="Q25" s="298" t="b">
        <v>0</v>
      </c>
      <c r="R25" s="298" t="b">
        <v>0</v>
      </c>
      <c r="S25" s="229"/>
      <c r="T25" s="229"/>
    </row>
    <row r="26" spans="1:20" x14ac:dyDescent="0.25">
      <c r="A26" s="229"/>
      <c r="B26" s="229"/>
      <c r="C26" s="229"/>
      <c r="D26" s="229"/>
      <c r="E26" s="229"/>
      <c r="F26" s="229"/>
      <c r="G26" s="229"/>
      <c r="H26" s="229"/>
      <c r="I26" s="229"/>
      <c r="J26" s="229"/>
      <c r="K26" s="229"/>
      <c r="L26" s="229"/>
      <c r="M26" s="229"/>
      <c r="N26" s="229"/>
      <c r="O26" s="229"/>
      <c r="P26" s="229"/>
      <c r="Q26" s="298"/>
      <c r="R26" s="298"/>
      <c r="S26" s="229"/>
      <c r="T26" s="229"/>
    </row>
    <row r="27" spans="1:20" x14ac:dyDescent="0.25">
      <c r="A27" s="229"/>
      <c r="B27" s="297" t="s">
        <v>2081</v>
      </c>
      <c r="C27" s="229"/>
      <c r="D27" s="229"/>
      <c r="E27" s="229"/>
      <c r="F27" s="229"/>
      <c r="G27" s="229"/>
      <c r="H27" s="229"/>
      <c r="I27" s="229"/>
      <c r="J27" s="229"/>
      <c r="K27" s="229"/>
      <c r="L27" s="229"/>
      <c r="M27" s="229"/>
      <c r="N27" s="229"/>
      <c r="O27" s="229"/>
      <c r="P27" s="229"/>
      <c r="Q27" s="298"/>
      <c r="R27" s="298"/>
      <c r="S27" s="229"/>
      <c r="T27" s="229"/>
    </row>
    <row r="28" spans="1:20" x14ac:dyDescent="0.25">
      <c r="A28" s="229"/>
      <c r="B28" s="10" t="s">
        <v>2085</v>
      </c>
      <c r="C28" s="229"/>
      <c r="D28" s="229"/>
      <c r="E28" s="229"/>
      <c r="F28" s="229"/>
      <c r="G28" s="229"/>
      <c r="H28" s="229"/>
      <c r="I28" s="229"/>
      <c r="J28" s="229"/>
      <c r="K28" s="229"/>
      <c r="L28" s="229"/>
      <c r="M28" s="229"/>
      <c r="N28" s="229"/>
      <c r="O28" s="229"/>
      <c r="P28" s="229"/>
      <c r="Q28" s="298"/>
      <c r="R28" s="298"/>
      <c r="S28" s="229"/>
      <c r="T28" s="229"/>
    </row>
    <row r="29" spans="1:20" ht="15" customHeight="1" x14ac:dyDescent="0.25">
      <c r="A29" s="229"/>
      <c r="B29" s="1644" t="s">
        <v>0</v>
      </c>
      <c r="C29" s="1646"/>
      <c r="D29" s="1118"/>
      <c r="E29" s="229"/>
      <c r="F29" s="1644" t="s">
        <v>2</v>
      </c>
      <c r="G29" s="1646"/>
      <c r="H29" s="1118"/>
      <c r="I29" s="229"/>
      <c r="J29" s="229"/>
      <c r="K29" s="229"/>
      <c r="L29" s="229"/>
      <c r="M29" s="229"/>
      <c r="N29" s="229"/>
      <c r="O29" s="229"/>
      <c r="P29" s="229"/>
      <c r="Q29" s="298" t="b">
        <v>0</v>
      </c>
      <c r="R29" s="298" t="b">
        <v>0</v>
      </c>
      <c r="S29" s="229"/>
      <c r="T29" s="229"/>
    </row>
    <row r="30" spans="1:20" ht="9" customHeight="1" x14ac:dyDescent="0.25">
      <c r="A30" s="229"/>
      <c r="B30" s="229"/>
      <c r="C30" s="229"/>
      <c r="D30" s="229"/>
      <c r="E30" s="229"/>
      <c r="F30" s="229"/>
      <c r="G30" s="229"/>
      <c r="H30" s="229"/>
      <c r="I30" s="229"/>
      <c r="J30" s="229"/>
      <c r="K30" s="229"/>
      <c r="L30" s="229"/>
      <c r="M30" s="229"/>
      <c r="N30" s="229"/>
      <c r="O30" s="229"/>
      <c r="P30" s="229"/>
      <c r="Q30" s="298"/>
      <c r="R30" s="298"/>
      <c r="S30" s="229"/>
      <c r="T30" s="229"/>
    </row>
    <row r="31" spans="1:20" ht="15" customHeight="1" x14ac:dyDescent="0.25">
      <c r="A31" s="229"/>
      <c r="B31" s="229" t="s">
        <v>2086</v>
      </c>
      <c r="C31" s="229"/>
      <c r="D31" s="229"/>
      <c r="E31" s="229"/>
      <c r="F31" s="229"/>
      <c r="G31" s="229"/>
      <c r="H31" s="229"/>
      <c r="I31" s="229"/>
      <c r="J31" s="229"/>
      <c r="K31" s="229"/>
      <c r="L31" s="229"/>
      <c r="M31" s="229"/>
      <c r="N31" s="229"/>
      <c r="O31" s="229"/>
      <c r="P31" s="229"/>
      <c r="Q31" s="298"/>
      <c r="R31" s="298"/>
      <c r="S31" s="229"/>
      <c r="T31" s="229"/>
    </row>
    <row r="32" spans="1:20" ht="39" customHeight="1" x14ac:dyDescent="0.25">
      <c r="A32" s="229"/>
      <c r="B32" s="2581"/>
      <c r="C32" s="2581"/>
      <c r="D32" s="2581"/>
      <c r="E32" s="2581"/>
      <c r="F32" s="2581"/>
      <c r="G32" s="2581"/>
      <c r="H32" s="2581"/>
      <c r="I32" s="2581"/>
      <c r="J32" s="2581"/>
      <c r="K32" s="2581"/>
      <c r="L32" s="2581"/>
      <c r="M32" s="2581"/>
      <c r="N32" s="2581"/>
      <c r="O32" s="2581"/>
      <c r="P32" s="229"/>
      <c r="Q32" s="298"/>
      <c r="R32" s="298"/>
      <c r="S32" s="229"/>
      <c r="T32" s="229"/>
    </row>
    <row r="33" spans="1:20" ht="21" customHeight="1" x14ac:dyDescent="0.25">
      <c r="A33" s="229"/>
      <c r="B33" s="297"/>
      <c r="C33" s="229"/>
      <c r="D33" s="229"/>
      <c r="E33" s="229"/>
      <c r="F33" s="229"/>
      <c r="G33" s="229"/>
      <c r="H33" s="229"/>
      <c r="I33" s="229"/>
      <c r="J33" s="229"/>
      <c r="K33" s="229"/>
      <c r="L33" s="229"/>
      <c r="M33" s="229"/>
      <c r="N33" s="229"/>
      <c r="O33" s="229"/>
      <c r="P33" s="229"/>
      <c r="Q33" s="298"/>
      <c r="R33" s="298"/>
      <c r="S33" s="229"/>
      <c r="T33" s="229"/>
    </row>
    <row r="34" spans="1:20" ht="18.75" x14ac:dyDescent="0.3">
      <c r="A34" s="229"/>
      <c r="B34" s="820" t="s">
        <v>223</v>
      </c>
      <c r="C34" s="229"/>
      <c r="D34" s="229"/>
      <c r="E34" s="229"/>
      <c r="F34" s="229"/>
      <c r="G34" s="229"/>
      <c r="H34" s="229"/>
      <c r="I34" s="229"/>
      <c r="J34" s="229"/>
      <c r="K34" s="229"/>
      <c r="L34" s="229"/>
      <c r="M34" s="229"/>
      <c r="N34" s="229"/>
      <c r="O34" s="229"/>
      <c r="P34" s="229"/>
      <c r="Q34" s="229"/>
      <c r="R34" s="229"/>
      <c r="S34" s="229"/>
      <c r="T34" s="229"/>
    </row>
    <row r="35" spans="1:20" ht="11.25" customHeight="1" x14ac:dyDescent="0.25">
      <c r="A35" s="229"/>
      <c r="C35" s="229"/>
      <c r="D35" s="229"/>
      <c r="E35" s="229"/>
      <c r="F35" s="229"/>
      <c r="G35" s="229"/>
      <c r="H35" s="229"/>
      <c r="I35" s="229"/>
      <c r="J35" s="229"/>
      <c r="K35" s="229"/>
      <c r="L35" s="229"/>
      <c r="M35" s="229"/>
      <c r="N35" s="229"/>
      <c r="O35" s="229"/>
      <c r="P35" s="229"/>
      <c r="Q35" s="229"/>
      <c r="R35" s="229"/>
      <c r="S35" s="229"/>
      <c r="T35" s="229"/>
    </row>
    <row r="36" spans="1:20" x14ac:dyDescent="0.25">
      <c r="A36" s="229"/>
      <c r="B36" s="230" t="s">
        <v>232</v>
      </c>
      <c r="C36" s="229"/>
      <c r="D36" s="229"/>
      <c r="E36" s="229"/>
      <c r="F36" s="229"/>
      <c r="G36" s="229"/>
      <c r="H36" s="229"/>
      <c r="I36" s="229"/>
      <c r="J36" s="229"/>
      <c r="K36" s="229"/>
      <c r="L36" s="229"/>
      <c r="M36" s="229"/>
      <c r="N36" s="229"/>
      <c r="O36" s="229"/>
      <c r="P36" s="229"/>
      <c r="Q36" s="229"/>
      <c r="R36" s="229"/>
      <c r="S36" s="229"/>
      <c r="T36" s="229"/>
    </row>
    <row r="37" spans="1:20" x14ac:dyDescent="0.25">
      <c r="A37" s="229"/>
      <c r="B37" s="230" t="s">
        <v>230</v>
      </c>
      <c r="C37" s="229"/>
      <c r="D37" s="229"/>
      <c r="E37" s="229"/>
      <c r="F37" s="229"/>
      <c r="G37" s="229"/>
      <c r="H37" s="229"/>
      <c r="I37" s="229"/>
      <c r="J37" s="229"/>
      <c r="K37" s="229"/>
      <c r="L37" s="229"/>
      <c r="M37" s="229"/>
      <c r="N37" s="229"/>
      <c r="O37" s="229"/>
      <c r="P37" s="229"/>
      <c r="Q37" s="229"/>
      <c r="R37" s="229"/>
      <c r="S37" s="229"/>
      <c r="T37" s="229"/>
    </row>
    <row r="38" spans="1:20" ht="12" customHeight="1" x14ac:dyDescent="0.25">
      <c r="A38" s="229"/>
      <c r="B38" s="230"/>
      <c r="C38" s="229"/>
      <c r="D38" s="229"/>
      <c r="E38" s="229"/>
      <c r="F38" s="229"/>
      <c r="G38" s="229"/>
      <c r="H38" s="229"/>
      <c r="I38" s="229"/>
      <c r="J38" s="229"/>
      <c r="K38" s="229"/>
      <c r="L38" s="229"/>
      <c r="M38" s="229"/>
      <c r="N38" s="229"/>
      <c r="P38" s="229"/>
      <c r="Q38" s="229"/>
      <c r="R38" s="229"/>
      <c r="S38" s="229"/>
      <c r="T38" s="229"/>
    </row>
    <row r="39" spans="1:20" ht="15.75" x14ac:dyDescent="0.25">
      <c r="A39" s="229"/>
      <c r="B39" s="2591" t="s">
        <v>298</v>
      </c>
      <c r="C39" s="2591"/>
      <c r="D39" s="2591"/>
      <c r="E39" s="2591"/>
      <c r="F39" s="2591"/>
      <c r="G39" s="2591"/>
      <c r="H39" s="2591"/>
      <c r="I39" s="2591"/>
      <c r="J39" s="2591"/>
      <c r="K39" s="2591"/>
      <c r="L39" s="2591"/>
      <c r="M39" s="2591"/>
      <c r="N39" s="2591"/>
      <c r="O39" s="2591"/>
      <c r="P39" s="229"/>
      <c r="Q39" s="229"/>
      <c r="R39" s="229"/>
      <c r="S39" s="229"/>
      <c r="T39" s="229"/>
    </row>
    <row r="40" spans="1:20" ht="60" customHeight="1" x14ac:dyDescent="0.25">
      <c r="A40" s="229"/>
      <c r="B40" s="2581"/>
      <c r="C40" s="2581"/>
      <c r="D40" s="2581"/>
      <c r="E40" s="2581"/>
      <c r="F40" s="2581"/>
      <c r="G40" s="2581"/>
      <c r="H40" s="2581"/>
      <c r="I40" s="2581"/>
      <c r="J40" s="2581"/>
      <c r="K40" s="2581"/>
      <c r="L40" s="2581"/>
      <c r="M40" s="2581"/>
      <c r="N40" s="2581"/>
      <c r="O40" s="2581"/>
      <c r="P40" s="229"/>
      <c r="Q40" s="229"/>
      <c r="R40" s="229"/>
      <c r="S40" s="229"/>
      <c r="T40" s="229"/>
    </row>
    <row r="41" spans="1:20" x14ac:dyDescent="0.25">
      <c r="A41" s="229"/>
      <c r="B41" s="230"/>
      <c r="C41" s="229"/>
      <c r="D41" s="229"/>
      <c r="E41" s="229"/>
      <c r="F41" s="229"/>
      <c r="G41" s="229"/>
      <c r="H41" s="229"/>
      <c r="I41" s="229"/>
      <c r="J41" s="229"/>
      <c r="K41" s="229"/>
      <c r="L41" s="229"/>
      <c r="M41" s="229"/>
      <c r="N41" s="229"/>
      <c r="O41" s="229"/>
      <c r="P41" s="229"/>
      <c r="Q41" s="229"/>
      <c r="R41" s="229"/>
      <c r="S41" s="229"/>
      <c r="T41" s="229"/>
    </row>
    <row r="42" spans="1:20" ht="15.75" x14ac:dyDescent="0.25">
      <c r="A42" s="229"/>
      <c r="B42" s="2577" t="s">
        <v>297</v>
      </c>
      <c r="C42" s="2577"/>
      <c r="D42" s="2577"/>
      <c r="E42" s="2577"/>
      <c r="F42" s="2577"/>
      <c r="G42" s="2585" t="s">
        <v>237</v>
      </c>
      <c r="H42" s="2586"/>
      <c r="I42" s="2586"/>
      <c r="J42" s="2586"/>
      <c r="K42" s="2586"/>
      <c r="L42" s="2586"/>
      <c r="M42" s="2586"/>
      <c r="N42" s="2586"/>
      <c r="O42" s="2587"/>
      <c r="P42" s="229"/>
      <c r="Q42" s="229"/>
      <c r="R42" s="229"/>
      <c r="S42" s="229"/>
      <c r="T42" s="229"/>
    </row>
    <row r="43" spans="1:20" ht="18" customHeight="1" x14ac:dyDescent="0.25">
      <c r="A43" s="229"/>
      <c r="B43" s="2590" t="s">
        <v>100</v>
      </c>
      <c r="C43" s="2590"/>
      <c r="D43" s="2590"/>
      <c r="E43" s="2590"/>
      <c r="F43" s="2590"/>
      <c r="G43" s="2486"/>
      <c r="H43" s="2487"/>
      <c r="I43" s="2487"/>
      <c r="J43" s="2487"/>
      <c r="K43" s="2487"/>
      <c r="L43" s="2487"/>
      <c r="M43" s="2487"/>
      <c r="N43" s="2487"/>
      <c r="O43" s="2488"/>
      <c r="P43" s="229"/>
      <c r="Q43" s="229"/>
      <c r="R43" s="229"/>
      <c r="S43" s="229"/>
      <c r="T43" s="229"/>
    </row>
    <row r="44" spans="1:20" ht="18" customHeight="1" x14ac:dyDescent="0.25">
      <c r="A44" s="229"/>
      <c r="B44" s="2590" t="s">
        <v>233</v>
      </c>
      <c r="C44" s="2590"/>
      <c r="D44" s="2590"/>
      <c r="E44" s="2590"/>
      <c r="F44" s="2590"/>
      <c r="G44" s="2582"/>
      <c r="H44" s="2583"/>
      <c r="I44" s="2583"/>
      <c r="J44" s="2583"/>
      <c r="K44" s="2583"/>
      <c r="L44" s="2583"/>
      <c r="M44" s="2583"/>
      <c r="N44" s="2583"/>
      <c r="O44" s="2584"/>
      <c r="P44" s="229"/>
      <c r="Q44" s="229"/>
      <c r="R44" s="229"/>
      <c r="S44" s="229"/>
      <c r="T44" s="229"/>
    </row>
    <row r="45" spans="1:20" ht="18" customHeight="1" x14ac:dyDescent="0.25">
      <c r="A45" s="229"/>
      <c r="B45" s="2589" t="s">
        <v>1953</v>
      </c>
      <c r="C45" s="2589"/>
      <c r="D45" s="2589"/>
      <c r="E45" s="2589"/>
      <c r="F45" s="2589"/>
      <c r="G45" s="2486"/>
      <c r="H45" s="2487"/>
      <c r="I45" s="2487"/>
      <c r="J45" s="2487"/>
      <c r="K45" s="2487"/>
      <c r="L45" s="2487"/>
      <c r="M45" s="2487"/>
      <c r="N45" s="2487"/>
      <c r="O45" s="2488"/>
      <c r="P45" s="229"/>
      <c r="Q45" s="229"/>
      <c r="R45" s="229"/>
      <c r="S45" s="229"/>
      <c r="T45" s="229"/>
    </row>
    <row r="46" spans="1:20" ht="18" customHeight="1" x14ac:dyDescent="0.25">
      <c r="A46" s="229"/>
      <c r="B46" s="2590" t="s">
        <v>1328</v>
      </c>
      <c r="C46" s="2590"/>
      <c r="D46" s="2590"/>
      <c r="E46" s="2590"/>
      <c r="F46" s="2590"/>
      <c r="G46" s="2582"/>
      <c r="H46" s="2583"/>
      <c r="I46" s="2583"/>
      <c r="J46" s="2583"/>
      <c r="K46" s="2583"/>
      <c r="L46" s="2583"/>
      <c r="M46" s="2583"/>
      <c r="N46" s="2583"/>
      <c r="O46" s="2584"/>
      <c r="P46" s="229"/>
      <c r="Q46" s="229"/>
      <c r="R46" s="229"/>
      <c r="S46" s="229"/>
      <c r="T46" s="229"/>
    </row>
    <row r="47" spans="1:20" ht="18" customHeight="1" x14ac:dyDescent="0.25">
      <c r="A47" s="229"/>
      <c r="B47" s="2590" t="s">
        <v>234</v>
      </c>
      <c r="C47" s="2590"/>
      <c r="D47" s="2590"/>
      <c r="E47" s="2590"/>
      <c r="F47" s="2590"/>
      <c r="G47" s="2486"/>
      <c r="H47" s="2487"/>
      <c r="I47" s="2487"/>
      <c r="J47" s="2487"/>
      <c r="K47" s="2487"/>
      <c r="L47" s="2487"/>
      <c r="M47" s="2487"/>
      <c r="N47" s="2487"/>
      <c r="O47" s="2488"/>
      <c r="P47" s="229"/>
      <c r="Q47" s="229"/>
      <c r="R47" s="229"/>
      <c r="S47" s="229"/>
      <c r="T47" s="229"/>
    </row>
    <row r="48" spans="1:20" ht="18" customHeight="1" x14ac:dyDescent="0.25">
      <c r="A48" s="229"/>
      <c r="B48" s="2590" t="s">
        <v>235</v>
      </c>
      <c r="C48" s="2590"/>
      <c r="D48" s="2590"/>
      <c r="E48" s="2590"/>
      <c r="F48" s="2590"/>
      <c r="G48" s="2582"/>
      <c r="H48" s="2583"/>
      <c r="I48" s="2583"/>
      <c r="J48" s="2583"/>
      <c r="K48" s="2583"/>
      <c r="L48" s="2583"/>
      <c r="M48" s="2583"/>
      <c r="N48" s="2583"/>
      <c r="O48" s="2584"/>
      <c r="P48" s="229"/>
      <c r="Q48" s="229"/>
      <c r="R48" s="229"/>
      <c r="S48" s="229"/>
      <c r="T48" s="229"/>
    </row>
    <row r="49" spans="1:20" ht="18" customHeight="1" x14ac:dyDescent="0.25">
      <c r="A49" s="229"/>
      <c r="B49" s="2589" t="s">
        <v>1952</v>
      </c>
      <c r="C49" s="2589"/>
      <c r="D49" s="2589"/>
      <c r="E49" s="2589"/>
      <c r="F49" s="2589"/>
      <c r="G49" s="2486"/>
      <c r="H49" s="2487"/>
      <c r="I49" s="2487"/>
      <c r="J49" s="2487"/>
      <c r="K49" s="2487"/>
      <c r="L49" s="2487"/>
      <c r="M49" s="2487"/>
      <c r="N49" s="2487"/>
      <c r="O49" s="2488"/>
      <c r="P49" s="229"/>
      <c r="Q49" s="229"/>
      <c r="R49" s="229"/>
      <c r="S49" s="229"/>
      <c r="T49" s="229"/>
    </row>
    <row r="50" spans="1:20" ht="18" customHeight="1" x14ac:dyDescent="0.25">
      <c r="A50" s="229"/>
      <c r="B50" s="2595" t="s">
        <v>2087</v>
      </c>
      <c r="C50" s="2596"/>
      <c r="D50" s="2596"/>
      <c r="E50" s="2596"/>
      <c r="F50" s="2597"/>
      <c r="G50" s="2582"/>
      <c r="H50" s="2583"/>
      <c r="I50" s="2583"/>
      <c r="J50" s="2583"/>
      <c r="K50" s="2583"/>
      <c r="L50" s="2583"/>
      <c r="M50" s="2583"/>
      <c r="N50" s="2583"/>
      <c r="O50" s="2584"/>
      <c r="P50" s="229"/>
      <c r="Q50" s="229"/>
      <c r="R50" s="229"/>
      <c r="S50" s="229"/>
      <c r="T50" s="229"/>
    </row>
    <row r="51" spans="1:20" ht="18" customHeight="1" x14ac:dyDescent="0.25">
      <c r="A51" s="229"/>
      <c r="B51" s="2574" t="s">
        <v>236</v>
      </c>
      <c r="C51" s="2575"/>
      <c r="D51" s="2575"/>
      <c r="E51" s="2575"/>
      <c r="F51" s="2576"/>
      <c r="G51" s="2486"/>
      <c r="H51" s="2487"/>
      <c r="I51" s="2487"/>
      <c r="J51" s="2487"/>
      <c r="K51" s="2487"/>
      <c r="L51" s="2487"/>
      <c r="M51" s="2487"/>
      <c r="N51" s="2487"/>
      <c r="O51" s="2488"/>
      <c r="P51" s="229"/>
      <c r="Q51" s="229"/>
      <c r="R51" s="229"/>
      <c r="S51" s="229"/>
      <c r="T51" s="229"/>
    </row>
    <row r="52" spans="1:20" ht="18" customHeight="1" x14ac:dyDescent="0.25">
      <c r="A52" s="229"/>
      <c r="B52" s="2589" t="s">
        <v>1184</v>
      </c>
      <c r="C52" s="2589"/>
      <c r="D52" s="2589"/>
      <c r="E52" s="2589"/>
      <c r="F52" s="2589"/>
      <c r="G52" s="2582"/>
      <c r="H52" s="2583"/>
      <c r="I52" s="2583"/>
      <c r="J52" s="2583"/>
      <c r="K52" s="2583"/>
      <c r="L52" s="2583"/>
      <c r="M52" s="2583"/>
      <c r="N52" s="2583"/>
      <c r="O52" s="2584"/>
      <c r="P52" s="229"/>
      <c r="Q52" s="229"/>
      <c r="R52" s="229"/>
      <c r="S52" s="229"/>
      <c r="T52" s="229"/>
    </row>
    <row r="53" spans="1:20" ht="18" customHeight="1" x14ac:dyDescent="0.25">
      <c r="A53" s="229"/>
      <c r="B53" s="2590" t="s">
        <v>130</v>
      </c>
      <c r="C53" s="2590"/>
      <c r="D53" s="2590"/>
      <c r="E53" s="2590"/>
      <c r="F53" s="2590"/>
      <c r="G53" s="2486"/>
      <c r="H53" s="2487"/>
      <c r="I53" s="2487"/>
      <c r="J53" s="2487"/>
      <c r="K53" s="2487"/>
      <c r="L53" s="2487"/>
      <c r="M53" s="2487"/>
      <c r="N53" s="2487"/>
      <c r="O53" s="2488"/>
      <c r="P53" s="229"/>
      <c r="Q53" s="229"/>
      <c r="R53" s="229"/>
      <c r="S53" s="229"/>
      <c r="T53" s="229"/>
    </row>
    <row r="54" spans="1:20" x14ac:dyDescent="0.25">
      <c r="A54" s="229"/>
      <c r="B54" s="230"/>
      <c r="C54" s="229"/>
      <c r="D54" s="229"/>
      <c r="E54" s="229"/>
      <c r="F54" s="229"/>
      <c r="G54" s="229"/>
      <c r="H54" s="229"/>
      <c r="I54" s="229"/>
      <c r="J54" s="229"/>
      <c r="K54" s="229"/>
      <c r="L54" s="229"/>
      <c r="M54" s="229"/>
      <c r="N54" s="229"/>
      <c r="O54" s="229"/>
      <c r="P54" s="229"/>
      <c r="Q54" s="229"/>
      <c r="R54" s="229"/>
      <c r="S54" s="229"/>
      <c r="T54" s="229"/>
    </row>
    <row r="55" spans="1:20" ht="16.5" customHeight="1" x14ac:dyDescent="0.25">
      <c r="A55" s="229"/>
      <c r="B55" s="243" t="s">
        <v>136</v>
      </c>
      <c r="C55" s="2577" t="s">
        <v>225</v>
      </c>
      <c r="D55" s="2577"/>
      <c r="E55" s="2577"/>
      <c r="F55" s="2577"/>
      <c r="G55" s="2578" t="s">
        <v>237</v>
      </c>
      <c r="H55" s="2579"/>
      <c r="I55" s="2579"/>
      <c r="J55" s="2579"/>
      <c r="K55" s="2579"/>
      <c r="L55" s="2579"/>
      <c r="M55" s="2579"/>
      <c r="N55" s="2579"/>
      <c r="O55" s="2580"/>
      <c r="P55" s="229"/>
      <c r="Q55" s="229"/>
      <c r="R55" s="229"/>
      <c r="S55" s="229"/>
      <c r="T55" s="229"/>
    </row>
    <row r="56" spans="1:20" ht="16.5" customHeight="1" x14ac:dyDescent="0.25">
      <c r="A56" s="229"/>
      <c r="B56" s="863" t="s">
        <v>22</v>
      </c>
      <c r="C56" s="2501" t="s">
        <v>365</v>
      </c>
      <c r="D56" s="2501"/>
      <c r="E56" s="2501"/>
      <c r="F56" s="2502"/>
      <c r="G56" s="2486"/>
      <c r="H56" s="2487"/>
      <c r="I56" s="2487"/>
      <c r="J56" s="2487"/>
      <c r="K56" s="2487"/>
      <c r="L56" s="2487"/>
      <c r="M56" s="2487"/>
      <c r="N56" s="2487"/>
      <c r="O56" s="2488"/>
      <c r="P56" s="229"/>
      <c r="Q56" s="229"/>
      <c r="R56" s="229"/>
      <c r="S56" s="229"/>
      <c r="T56" s="229"/>
    </row>
    <row r="57" spans="1:20" ht="16.5" customHeight="1" x14ac:dyDescent="0.25">
      <c r="A57" s="229"/>
      <c r="B57" s="864" t="s">
        <v>24</v>
      </c>
      <c r="C57" s="2483" t="s">
        <v>27</v>
      </c>
      <c r="D57" s="2483"/>
      <c r="E57" s="2483" t="s">
        <v>7</v>
      </c>
      <c r="F57" s="2484"/>
      <c r="G57" s="2582"/>
      <c r="H57" s="2583"/>
      <c r="I57" s="2583"/>
      <c r="J57" s="2583"/>
      <c r="K57" s="2583"/>
      <c r="L57" s="2583"/>
      <c r="M57" s="2583"/>
      <c r="N57" s="2583"/>
      <c r="O57" s="2584"/>
      <c r="P57" s="229"/>
      <c r="Q57" s="229"/>
      <c r="R57" s="229"/>
      <c r="S57" s="229"/>
      <c r="T57" s="229"/>
    </row>
    <row r="58" spans="1:20" ht="16.5" customHeight="1" x14ac:dyDescent="0.25">
      <c r="A58" s="229"/>
      <c r="B58" s="863" t="s">
        <v>224</v>
      </c>
      <c r="C58" s="2483" t="s">
        <v>28</v>
      </c>
      <c r="D58" s="2483"/>
      <c r="E58" s="2483" t="s">
        <v>39</v>
      </c>
      <c r="F58" s="2484"/>
      <c r="G58" s="2486"/>
      <c r="H58" s="2487"/>
      <c r="I58" s="2487"/>
      <c r="J58" s="2487"/>
      <c r="K58" s="2487"/>
      <c r="L58" s="2487"/>
      <c r="M58" s="2487"/>
      <c r="N58" s="2487"/>
      <c r="O58" s="2488"/>
      <c r="P58" s="229"/>
      <c r="Q58" s="229"/>
      <c r="R58" s="229"/>
      <c r="S58" s="229"/>
      <c r="T58" s="229"/>
    </row>
    <row r="59" spans="1:20" ht="16.5" customHeight="1" x14ac:dyDescent="0.25">
      <c r="A59" s="229"/>
      <c r="B59" s="864" t="s">
        <v>26</v>
      </c>
      <c r="C59" s="2496" t="s">
        <v>299</v>
      </c>
      <c r="D59" s="2496"/>
      <c r="E59" s="2496" t="s">
        <v>63</v>
      </c>
      <c r="F59" s="2497"/>
      <c r="G59" s="2582"/>
      <c r="H59" s="2583"/>
      <c r="I59" s="2583"/>
      <c r="J59" s="2583"/>
      <c r="K59" s="2583"/>
      <c r="L59" s="2583"/>
      <c r="M59" s="2583"/>
      <c r="N59" s="2583"/>
      <c r="O59" s="2584"/>
      <c r="P59" s="229"/>
      <c r="Q59" s="229"/>
      <c r="R59" s="229"/>
      <c r="S59" s="229"/>
      <c r="T59" s="229"/>
    </row>
    <row r="60" spans="1:20" ht="16.5" customHeight="1" x14ac:dyDescent="0.25">
      <c r="A60" s="229"/>
      <c r="B60" s="865" t="s">
        <v>33</v>
      </c>
      <c r="C60" s="2483" t="s">
        <v>34</v>
      </c>
      <c r="D60" s="2483"/>
      <c r="E60" s="2483" t="s">
        <v>17</v>
      </c>
      <c r="F60" s="2484"/>
      <c r="G60" s="2486"/>
      <c r="H60" s="2487"/>
      <c r="I60" s="2487"/>
      <c r="J60" s="2487"/>
      <c r="K60" s="2487"/>
      <c r="L60" s="2487"/>
      <c r="M60" s="2487"/>
      <c r="N60" s="2487"/>
      <c r="O60" s="2488"/>
      <c r="P60" s="229"/>
      <c r="Q60" s="229"/>
      <c r="R60" s="229"/>
      <c r="S60" s="229"/>
      <c r="T60" s="229"/>
    </row>
    <row r="61" spans="1:20" ht="16.5" customHeight="1" x14ac:dyDescent="0.25">
      <c r="A61" s="229"/>
      <c r="B61" s="866" t="s">
        <v>36</v>
      </c>
      <c r="C61" s="2483" t="s">
        <v>231</v>
      </c>
      <c r="D61" s="2483"/>
      <c r="E61" s="2483" t="s">
        <v>116</v>
      </c>
      <c r="F61" s="2484"/>
      <c r="G61" s="2582"/>
      <c r="H61" s="2583"/>
      <c r="I61" s="2583"/>
      <c r="J61" s="2583"/>
      <c r="K61" s="2583"/>
      <c r="L61" s="2583"/>
      <c r="M61" s="2583"/>
      <c r="N61" s="2583"/>
      <c r="O61" s="2584"/>
      <c r="P61" s="229"/>
      <c r="Q61" s="229"/>
      <c r="R61" s="229"/>
      <c r="S61" s="229"/>
      <c r="T61" s="229"/>
    </row>
    <row r="62" spans="1:20" ht="16.5" customHeight="1" x14ac:dyDescent="0.25">
      <c r="A62" s="229"/>
      <c r="B62" s="867" t="s">
        <v>226</v>
      </c>
      <c r="C62" s="2483" t="s">
        <v>311</v>
      </c>
      <c r="D62" s="2483"/>
      <c r="E62" s="2483" t="s">
        <v>181</v>
      </c>
      <c r="F62" s="2484"/>
      <c r="G62" s="2486"/>
      <c r="H62" s="2487"/>
      <c r="I62" s="2487"/>
      <c r="J62" s="2487"/>
      <c r="K62" s="2487"/>
      <c r="L62" s="2487"/>
      <c r="M62" s="2487"/>
      <c r="N62" s="2487"/>
      <c r="O62" s="2488"/>
      <c r="P62" s="229"/>
      <c r="Q62" s="229"/>
      <c r="R62" s="229"/>
      <c r="S62" s="229"/>
      <c r="T62" s="229"/>
    </row>
    <row r="63" spans="1:20" ht="16.5" customHeight="1" x14ac:dyDescent="0.25">
      <c r="A63" s="229"/>
      <c r="B63" s="868" t="s">
        <v>23</v>
      </c>
      <c r="C63" s="2483" t="s">
        <v>312</v>
      </c>
      <c r="D63" s="2483"/>
      <c r="E63" s="2483" t="s">
        <v>181</v>
      </c>
      <c r="F63" s="2484"/>
      <c r="G63" s="2582"/>
      <c r="H63" s="2583"/>
      <c r="I63" s="2583"/>
      <c r="J63" s="2583"/>
      <c r="K63" s="2583"/>
      <c r="L63" s="2583"/>
      <c r="M63" s="2583"/>
      <c r="N63" s="2583"/>
      <c r="O63" s="2584"/>
      <c r="P63" s="229"/>
      <c r="Q63" s="229"/>
      <c r="R63" s="229"/>
      <c r="S63" s="229"/>
      <c r="T63" s="229"/>
    </row>
    <row r="64" spans="1:20" ht="16.5" customHeight="1" x14ac:dyDescent="0.25">
      <c r="A64" s="229"/>
      <c r="B64" s="869" t="s">
        <v>340</v>
      </c>
      <c r="C64" s="2483" t="s">
        <v>332</v>
      </c>
      <c r="D64" s="2483"/>
      <c r="E64" s="2483" t="s">
        <v>4</v>
      </c>
      <c r="F64" s="2484"/>
      <c r="G64" s="2486"/>
      <c r="H64" s="2487"/>
      <c r="I64" s="2487"/>
      <c r="J64" s="2487"/>
      <c r="K64" s="2487"/>
      <c r="L64" s="2487"/>
      <c r="M64" s="2487"/>
      <c r="N64" s="2487"/>
      <c r="O64" s="2488"/>
      <c r="P64" s="229"/>
      <c r="Q64" s="229"/>
      <c r="R64" s="229"/>
      <c r="S64" s="229"/>
      <c r="T64" s="229"/>
    </row>
    <row r="65" spans="1:20" ht="16.5" customHeight="1" x14ac:dyDescent="0.25">
      <c r="A65" s="229"/>
      <c r="B65" s="870" t="s">
        <v>30</v>
      </c>
      <c r="C65" s="2483" t="s">
        <v>31</v>
      </c>
      <c r="D65" s="2483"/>
      <c r="E65" s="2483" t="s">
        <v>4</v>
      </c>
      <c r="F65" s="2484"/>
      <c r="G65" s="2582"/>
      <c r="H65" s="2583"/>
      <c r="I65" s="2583"/>
      <c r="J65" s="2583"/>
      <c r="K65" s="2583"/>
      <c r="L65" s="2583"/>
      <c r="M65" s="2583"/>
      <c r="N65" s="2583"/>
      <c r="O65" s="2584"/>
      <c r="P65" s="229"/>
      <c r="Q65" s="229"/>
      <c r="R65" s="229"/>
      <c r="S65" s="229"/>
      <c r="T65" s="229"/>
    </row>
    <row r="66" spans="1:20" ht="16.5" customHeight="1" x14ac:dyDescent="0.25">
      <c r="A66" s="229"/>
      <c r="B66" s="869" t="s">
        <v>32</v>
      </c>
      <c r="C66" s="2483" t="s">
        <v>1796</v>
      </c>
      <c r="D66" s="2483"/>
      <c r="E66" s="2483" t="s">
        <v>5</v>
      </c>
      <c r="F66" s="2484"/>
      <c r="G66" s="2486"/>
      <c r="H66" s="2487"/>
      <c r="I66" s="2487"/>
      <c r="J66" s="2487"/>
      <c r="K66" s="2487"/>
      <c r="L66" s="2487"/>
      <c r="M66" s="2487"/>
      <c r="N66" s="2487"/>
      <c r="O66" s="2488"/>
      <c r="P66" s="229"/>
      <c r="Q66" s="229"/>
      <c r="R66" s="229"/>
      <c r="S66" s="229"/>
      <c r="T66" s="229"/>
    </row>
    <row r="67" spans="1:20" ht="16.5" customHeight="1" x14ac:dyDescent="0.25">
      <c r="A67" s="229"/>
      <c r="B67" s="870" t="s">
        <v>35</v>
      </c>
      <c r="C67" s="2483" t="s">
        <v>1207</v>
      </c>
      <c r="D67" s="2483"/>
      <c r="E67" s="2483" t="s">
        <v>6</v>
      </c>
      <c r="F67" s="2484"/>
      <c r="G67" s="2582"/>
      <c r="H67" s="2583"/>
      <c r="I67" s="2583"/>
      <c r="J67" s="2583"/>
      <c r="K67" s="2583"/>
      <c r="L67" s="2583"/>
      <c r="M67" s="2583"/>
      <c r="N67" s="2583"/>
      <c r="O67" s="2584"/>
      <c r="P67" s="229"/>
      <c r="Q67" s="229"/>
      <c r="R67" s="229"/>
      <c r="S67" s="229"/>
      <c r="T67" s="229"/>
    </row>
    <row r="68" spans="1:20" ht="16.5" customHeight="1" x14ac:dyDescent="0.25">
      <c r="A68" s="229"/>
      <c r="B68" s="871" t="s">
        <v>37</v>
      </c>
      <c r="C68" s="2483" t="s">
        <v>1797</v>
      </c>
      <c r="D68" s="2483"/>
      <c r="E68" s="2483" t="s">
        <v>68</v>
      </c>
      <c r="F68" s="2484"/>
      <c r="G68" s="2486"/>
      <c r="H68" s="2487"/>
      <c r="I68" s="2487"/>
      <c r="J68" s="2487"/>
      <c r="K68" s="2487"/>
      <c r="L68" s="2487"/>
      <c r="M68" s="2487"/>
      <c r="N68" s="2487"/>
      <c r="O68" s="2488"/>
      <c r="P68" s="229"/>
      <c r="Q68" s="229"/>
      <c r="R68" s="229"/>
      <c r="S68" s="229"/>
      <c r="T68" s="229"/>
    </row>
    <row r="69" spans="1:20" ht="16.5" customHeight="1" x14ac:dyDescent="0.25">
      <c r="A69" s="229"/>
      <c r="B69" s="871" t="s">
        <v>248</v>
      </c>
      <c r="C69" s="2483" t="s">
        <v>337</v>
      </c>
      <c r="D69" s="2483"/>
      <c r="E69" s="2483" t="s">
        <v>68</v>
      </c>
      <c r="F69" s="2484"/>
      <c r="G69" s="2582"/>
      <c r="H69" s="2583"/>
      <c r="I69" s="2583"/>
      <c r="J69" s="2583"/>
      <c r="K69" s="2583"/>
      <c r="L69" s="2583"/>
      <c r="M69" s="2583"/>
      <c r="N69" s="2583"/>
      <c r="O69" s="2584"/>
      <c r="P69" s="229"/>
      <c r="Q69" s="229"/>
      <c r="R69" s="229"/>
      <c r="S69" s="229"/>
      <c r="T69" s="229"/>
    </row>
    <row r="70" spans="1:20" ht="16.5" customHeight="1" x14ac:dyDescent="0.25">
      <c r="A70" s="229"/>
      <c r="B70" s="871" t="s">
        <v>313</v>
      </c>
      <c r="C70" s="2483" t="s">
        <v>1790</v>
      </c>
      <c r="D70" s="2483"/>
      <c r="E70" s="2483" t="s">
        <v>68</v>
      </c>
      <c r="F70" s="2484"/>
      <c r="G70" s="2486"/>
      <c r="H70" s="2487"/>
      <c r="I70" s="2487"/>
      <c r="J70" s="2487"/>
      <c r="K70" s="2487"/>
      <c r="L70" s="2487"/>
      <c r="M70" s="2487"/>
      <c r="N70" s="2487"/>
      <c r="O70" s="2488"/>
      <c r="P70" s="229"/>
      <c r="Q70" s="229"/>
      <c r="R70" s="229"/>
      <c r="S70" s="229"/>
      <c r="T70" s="229"/>
    </row>
    <row r="71" spans="1:20" ht="16.5" customHeight="1" x14ac:dyDescent="0.25">
      <c r="A71" s="229"/>
      <c r="B71" s="871" t="s">
        <v>314</v>
      </c>
      <c r="C71" s="2483" t="s">
        <v>38</v>
      </c>
      <c r="D71" s="2483"/>
      <c r="E71" s="2483" t="s">
        <v>68</v>
      </c>
      <c r="F71" s="2484"/>
      <c r="G71" s="2582"/>
      <c r="H71" s="2583"/>
      <c r="I71" s="2583"/>
      <c r="J71" s="2583"/>
      <c r="K71" s="2583"/>
      <c r="L71" s="2583"/>
      <c r="M71" s="2583"/>
      <c r="N71" s="2583"/>
      <c r="O71" s="2584"/>
      <c r="P71" s="229"/>
      <c r="Q71" s="229"/>
      <c r="R71" s="229"/>
      <c r="S71" s="229"/>
      <c r="T71" s="229"/>
    </row>
    <row r="72" spans="1:20" ht="16.5" customHeight="1" x14ac:dyDescent="0.25">
      <c r="A72" s="229"/>
      <c r="B72" s="871" t="s">
        <v>315</v>
      </c>
      <c r="C72" s="2483" t="s">
        <v>334</v>
      </c>
      <c r="D72" s="2483"/>
      <c r="E72" s="2483" t="s">
        <v>68</v>
      </c>
      <c r="F72" s="2484"/>
      <c r="G72" s="2486"/>
      <c r="H72" s="2487"/>
      <c r="I72" s="2487"/>
      <c r="J72" s="2487"/>
      <c r="K72" s="2487"/>
      <c r="L72" s="2487"/>
      <c r="M72" s="2487"/>
      <c r="N72" s="2487"/>
      <c r="O72" s="2488"/>
      <c r="P72" s="229"/>
      <c r="Q72" s="229"/>
      <c r="R72" s="229"/>
      <c r="S72" s="229"/>
      <c r="T72" s="229"/>
    </row>
    <row r="73" spans="1:20" ht="16.5" customHeight="1" x14ac:dyDescent="0.25">
      <c r="A73" s="229"/>
      <c r="B73" s="871" t="s">
        <v>316</v>
      </c>
      <c r="C73" s="2483" t="s">
        <v>850</v>
      </c>
      <c r="D73" s="2483"/>
      <c r="E73" s="2483" t="s">
        <v>68</v>
      </c>
      <c r="F73" s="2484"/>
      <c r="G73" s="2582"/>
      <c r="H73" s="2583"/>
      <c r="I73" s="2583"/>
      <c r="J73" s="2583"/>
      <c r="K73" s="2583"/>
      <c r="L73" s="2583"/>
      <c r="M73" s="2583"/>
      <c r="N73" s="2583"/>
      <c r="O73" s="2584"/>
      <c r="P73" s="229"/>
      <c r="Q73" s="229"/>
      <c r="R73" s="229"/>
      <c r="S73" s="229"/>
      <c r="T73" s="229"/>
    </row>
    <row r="74" spans="1:20" ht="16.5" customHeight="1" x14ac:dyDescent="0.25">
      <c r="A74" s="229"/>
      <c r="B74" s="871" t="s">
        <v>317</v>
      </c>
      <c r="C74" s="2483" t="s">
        <v>842</v>
      </c>
      <c r="D74" s="2483"/>
      <c r="E74" s="2483" t="s">
        <v>68</v>
      </c>
      <c r="F74" s="2484"/>
      <c r="G74" s="2486"/>
      <c r="H74" s="2487"/>
      <c r="I74" s="2487"/>
      <c r="J74" s="2487"/>
      <c r="K74" s="2487"/>
      <c r="L74" s="2487"/>
      <c r="M74" s="2487"/>
      <c r="N74" s="2487"/>
      <c r="O74" s="2488"/>
      <c r="P74" s="229"/>
      <c r="Q74" s="229"/>
      <c r="R74" s="229"/>
      <c r="S74" s="229"/>
      <c r="T74" s="229"/>
    </row>
    <row r="75" spans="1:20" ht="16.5" customHeight="1" x14ac:dyDescent="0.25">
      <c r="A75" s="229"/>
      <c r="B75" s="1050" t="s">
        <v>318</v>
      </c>
      <c r="C75" s="2483" t="s">
        <v>249</v>
      </c>
      <c r="D75" s="2483"/>
      <c r="E75" s="2483" t="s">
        <v>68</v>
      </c>
      <c r="F75" s="2484"/>
      <c r="G75" s="2582"/>
      <c r="H75" s="2583"/>
      <c r="I75" s="2583"/>
      <c r="J75" s="2583"/>
      <c r="K75" s="2583"/>
      <c r="L75" s="2583"/>
      <c r="M75" s="2583"/>
      <c r="N75" s="2583"/>
      <c r="O75" s="2584"/>
      <c r="P75" s="229"/>
      <c r="Q75" s="229"/>
      <c r="R75" s="229"/>
      <c r="S75" s="229"/>
      <c r="T75" s="229"/>
    </row>
    <row r="76" spans="1:20" ht="16.5" customHeight="1" x14ac:dyDescent="0.25">
      <c r="A76" s="229"/>
      <c r="B76" s="1052" t="s">
        <v>319</v>
      </c>
      <c r="C76" s="2483" t="s">
        <v>1791</v>
      </c>
      <c r="D76" s="2483"/>
      <c r="E76" s="2483"/>
      <c r="F76" s="2484"/>
      <c r="G76" s="2486"/>
      <c r="H76" s="2487"/>
      <c r="I76" s="2487"/>
      <c r="J76" s="2487"/>
      <c r="K76" s="2487"/>
      <c r="L76" s="2487"/>
      <c r="M76" s="2487"/>
      <c r="N76" s="2487"/>
      <c r="O76" s="2488"/>
      <c r="P76" s="229"/>
      <c r="Q76" s="229"/>
      <c r="R76" s="229"/>
      <c r="S76" s="229"/>
      <c r="T76" s="229"/>
    </row>
    <row r="77" spans="1:20" ht="16.5" customHeight="1" x14ac:dyDescent="0.25">
      <c r="A77" s="229"/>
      <c r="B77" s="1053" t="s">
        <v>345</v>
      </c>
      <c r="C77" s="2483" t="s">
        <v>1792</v>
      </c>
      <c r="D77" s="2483"/>
      <c r="E77" s="2483"/>
      <c r="F77" s="2484"/>
      <c r="G77" s="2582"/>
      <c r="H77" s="2583"/>
      <c r="I77" s="2583"/>
      <c r="J77" s="2583"/>
      <c r="K77" s="2583"/>
      <c r="L77" s="2583"/>
      <c r="M77" s="2583"/>
      <c r="N77" s="2583"/>
      <c r="O77" s="2584"/>
      <c r="P77" s="229"/>
      <c r="Q77" s="229"/>
      <c r="R77" s="229"/>
      <c r="S77" s="229"/>
      <c r="T77" s="229"/>
    </row>
    <row r="78" spans="1:20" ht="16.5" customHeight="1" x14ac:dyDescent="0.25">
      <c r="A78" s="229"/>
      <c r="B78" s="1053" t="s">
        <v>346</v>
      </c>
      <c r="C78" s="2483" t="s">
        <v>1793</v>
      </c>
      <c r="D78" s="2483"/>
      <c r="E78" s="2483"/>
      <c r="F78" s="2484"/>
      <c r="G78" s="2486"/>
      <c r="H78" s="2487"/>
      <c r="I78" s="2487"/>
      <c r="J78" s="2487"/>
      <c r="K78" s="2487"/>
      <c r="L78" s="2487"/>
      <c r="M78" s="2487"/>
      <c r="N78" s="2487"/>
      <c r="O78" s="2488"/>
      <c r="P78" s="229"/>
      <c r="Q78" s="229"/>
      <c r="R78" s="229"/>
      <c r="S78" s="229"/>
      <c r="T78" s="229"/>
    </row>
    <row r="79" spans="1:20" ht="16.5" customHeight="1" x14ac:dyDescent="0.25">
      <c r="A79" s="229"/>
      <c r="B79" s="1053" t="s">
        <v>347</v>
      </c>
      <c r="C79" s="2483" t="s">
        <v>1794</v>
      </c>
      <c r="D79" s="2483"/>
      <c r="E79" s="2483"/>
      <c r="F79" s="2484"/>
      <c r="G79" s="2582"/>
      <c r="H79" s="2583"/>
      <c r="I79" s="2583"/>
      <c r="J79" s="2583"/>
      <c r="K79" s="2583"/>
      <c r="L79" s="2583"/>
      <c r="M79" s="2583"/>
      <c r="N79" s="2583"/>
      <c r="O79" s="2584"/>
      <c r="P79" s="229"/>
      <c r="Q79" s="229"/>
      <c r="R79" s="229"/>
      <c r="S79" s="229"/>
      <c r="T79" s="229"/>
    </row>
    <row r="80" spans="1:20" ht="16.5" customHeight="1" x14ac:dyDescent="0.25">
      <c r="A80" s="229"/>
      <c r="B80" s="1053" t="s">
        <v>348</v>
      </c>
      <c r="C80" s="2483" t="s">
        <v>1795</v>
      </c>
      <c r="D80" s="2483"/>
      <c r="E80" s="2483" t="s">
        <v>1</v>
      </c>
      <c r="F80" s="2484"/>
      <c r="G80" s="2486"/>
      <c r="H80" s="2487"/>
      <c r="I80" s="2487"/>
      <c r="J80" s="2487"/>
      <c r="K80" s="2487"/>
      <c r="L80" s="2487"/>
      <c r="M80" s="2487"/>
      <c r="N80" s="2487"/>
      <c r="O80" s="2488"/>
      <c r="P80" s="229"/>
      <c r="Q80" s="229"/>
      <c r="R80" s="229"/>
      <c r="S80" s="229"/>
      <c r="T80" s="229"/>
    </row>
    <row r="81" spans="1:20" ht="16.5" customHeight="1" x14ac:dyDescent="0.25">
      <c r="A81" s="229"/>
      <c r="B81" s="1054" t="s">
        <v>323</v>
      </c>
      <c r="C81" s="2483" t="s">
        <v>322</v>
      </c>
      <c r="D81" s="2483"/>
      <c r="E81" s="2483" t="s">
        <v>71</v>
      </c>
      <c r="F81" s="2484"/>
      <c r="G81" s="2582"/>
      <c r="H81" s="2583"/>
      <c r="I81" s="2583"/>
      <c r="J81" s="2583"/>
      <c r="K81" s="2583"/>
      <c r="L81" s="2583"/>
      <c r="M81" s="2583"/>
      <c r="N81" s="2583"/>
      <c r="O81" s="2584"/>
      <c r="P81" s="229"/>
      <c r="Q81" s="229"/>
      <c r="R81" s="229"/>
      <c r="S81" s="229"/>
      <c r="T81" s="229"/>
    </row>
    <row r="82" spans="1:20" ht="16.5" customHeight="1" x14ac:dyDescent="0.25">
      <c r="A82" s="229"/>
      <c r="B82" s="1051" t="s">
        <v>324</v>
      </c>
      <c r="C82" s="2483" t="s">
        <v>327</v>
      </c>
      <c r="D82" s="2483"/>
      <c r="E82" s="2483" t="s">
        <v>70</v>
      </c>
      <c r="F82" s="2484"/>
      <c r="G82" s="2486"/>
      <c r="H82" s="2487"/>
      <c r="I82" s="2487"/>
      <c r="J82" s="2487"/>
      <c r="K82" s="2487"/>
      <c r="L82" s="2487"/>
      <c r="M82" s="2487"/>
      <c r="N82" s="2487"/>
      <c r="O82" s="2488"/>
      <c r="P82" s="229"/>
      <c r="Q82" s="229"/>
      <c r="R82" s="229"/>
      <c r="S82" s="229"/>
      <c r="T82" s="229"/>
    </row>
    <row r="83" spans="1:20" ht="16.5" customHeight="1" x14ac:dyDescent="0.25">
      <c r="A83" s="229"/>
      <c r="B83" s="872" t="s">
        <v>325</v>
      </c>
      <c r="C83" s="2483" t="s">
        <v>328</v>
      </c>
      <c r="D83" s="2483"/>
      <c r="E83" s="2483" t="s">
        <v>69</v>
      </c>
      <c r="F83" s="2484"/>
      <c r="G83" s="2582"/>
      <c r="H83" s="2583"/>
      <c r="I83" s="2583"/>
      <c r="J83" s="2583"/>
      <c r="K83" s="2583"/>
      <c r="L83" s="2583"/>
      <c r="M83" s="2583"/>
      <c r="N83" s="2583"/>
      <c r="O83" s="2584"/>
      <c r="P83" s="229"/>
      <c r="Q83" s="229"/>
      <c r="R83" s="229"/>
      <c r="S83" s="229"/>
      <c r="T83" s="229"/>
    </row>
    <row r="84" spans="1:20" ht="16.5" customHeight="1" x14ac:dyDescent="0.25">
      <c r="A84" s="229"/>
      <c r="B84" s="872" t="s">
        <v>326</v>
      </c>
      <c r="C84" s="2483" t="s">
        <v>329</v>
      </c>
      <c r="D84" s="2483"/>
      <c r="E84" s="2483" t="s">
        <v>138</v>
      </c>
      <c r="F84" s="2484"/>
      <c r="G84" s="2486"/>
      <c r="H84" s="2487"/>
      <c r="I84" s="2487"/>
      <c r="J84" s="2487"/>
      <c r="K84" s="2487"/>
      <c r="L84" s="2487"/>
      <c r="M84" s="2487"/>
      <c r="N84" s="2487"/>
      <c r="O84" s="2488"/>
      <c r="P84" s="229"/>
      <c r="Q84" s="229"/>
      <c r="R84" s="229"/>
      <c r="S84" s="229"/>
      <c r="T84" s="229"/>
    </row>
    <row r="85" spans="1:20" ht="16.5" customHeight="1" x14ac:dyDescent="0.25">
      <c r="A85" s="229"/>
      <c r="B85" s="872" t="s">
        <v>330</v>
      </c>
      <c r="C85" s="2483" t="s">
        <v>331</v>
      </c>
      <c r="D85" s="2483"/>
      <c r="E85" s="2483" t="s">
        <v>138</v>
      </c>
      <c r="F85" s="2484"/>
      <c r="G85" s="2582"/>
      <c r="H85" s="2583"/>
      <c r="I85" s="2583"/>
      <c r="J85" s="2583"/>
      <c r="K85" s="2583"/>
      <c r="L85" s="2583"/>
      <c r="M85" s="2583"/>
      <c r="N85" s="2583"/>
      <c r="O85" s="2584"/>
      <c r="P85" s="229"/>
      <c r="Q85" s="229"/>
      <c r="R85" s="229"/>
      <c r="S85" s="229"/>
      <c r="T85" s="229"/>
    </row>
    <row r="86" spans="1:20" ht="16.5" customHeight="1" x14ac:dyDescent="0.25">
      <c r="A86" s="229"/>
      <c r="B86" s="874" t="s">
        <v>41</v>
      </c>
      <c r="C86" s="2494" t="s">
        <v>228</v>
      </c>
      <c r="D86" s="2494"/>
      <c r="E86" s="2494"/>
      <c r="F86" s="2495"/>
      <c r="G86" s="2486"/>
      <c r="H86" s="2487"/>
      <c r="I86" s="2487"/>
      <c r="J86" s="2487"/>
      <c r="K86" s="2487"/>
      <c r="L86" s="2487"/>
      <c r="M86" s="2487"/>
      <c r="N86" s="2487"/>
      <c r="O86" s="2488"/>
      <c r="P86" s="229"/>
      <c r="Q86" s="229"/>
      <c r="R86" s="229"/>
      <c r="S86" s="229"/>
      <c r="T86" s="229"/>
    </row>
    <row r="87" spans="1:20" ht="16.5" customHeight="1" x14ac:dyDescent="0.25">
      <c r="A87" s="229"/>
      <c r="B87" s="875" t="s">
        <v>44</v>
      </c>
      <c r="C87" s="2485" t="s">
        <v>229</v>
      </c>
      <c r="D87" s="2483"/>
      <c r="E87" s="2483"/>
      <c r="F87" s="2484"/>
      <c r="G87" s="2582"/>
      <c r="H87" s="2583"/>
      <c r="I87" s="2583"/>
      <c r="J87" s="2583"/>
      <c r="K87" s="2583"/>
      <c r="L87" s="2583"/>
      <c r="M87" s="2583"/>
      <c r="N87" s="2583"/>
      <c r="O87" s="2584"/>
      <c r="P87" s="229"/>
      <c r="Q87" s="229"/>
      <c r="R87" s="229"/>
      <c r="S87" s="229"/>
      <c r="T87" s="229"/>
    </row>
    <row r="88" spans="1:20" ht="15.75" x14ac:dyDescent="0.25">
      <c r="A88" s="229"/>
      <c r="B88" s="228"/>
      <c r="C88" s="229"/>
      <c r="D88" s="229"/>
      <c r="E88" s="229"/>
      <c r="F88" s="229"/>
      <c r="G88" s="229"/>
      <c r="H88" s="229"/>
      <c r="I88" s="229"/>
      <c r="J88" s="229"/>
      <c r="K88" s="229"/>
      <c r="L88" s="229"/>
      <c r="M88" s="229"/>
      <c r="N88" s="229"/>
      <c r="O88" s="229"/>
      <c r="P88" s="229"/>
      <c r="Q88" s="229"/>
      <c r="R88" s="229"/>
      <c r="S88" s="229"/>
      <c r="T88" s="229"/>
    </row>
    <row r="89" spans="1:20" ht="15.75" x14ac:dyDescent="0.25">
      <c r="A89" s="229"/>
      <c r="B89" s="228"/>
      <c r="C89" s="229"/>
      <c r="D89" s="229"/>
      <c r="E89" s="229"/>
      <c r="F89" s="229"/>
      <c r="G89" s="229"/>
      <c r="H89" s="229"/>
      <c r="I89" s="229"/>
      <c r="J89" s="229"/>
      <c r="K89" s="229"/>
      <c r="L89" s="229"/>
      <c r="M89" s="229"/>
      <c r="N89" s="229"/>
      <c r="O89" s="229"/>
      <c r="P89" s="229"/>
      <c r="Q89" s="229"/>
      <c r="R89" s="229"/>
      <c r="S89" s="229"/>
      <c r="T89" s="229"/>
    </row>
    <row r="90" spans="1:20" ht="15.75" hidden="1" x14ac:dyDescent="0.25">
      <c r="A90" s="229"/>
      <c r="B90" s="228"/>
      <c r="C90" s="229"/>
      <c r="D90" s="229"/>
      <c r="E90" s="229"/>
      <c r="F90" s="229"/>
      <c r="G90" s="229"/>
      <c r="H90" s="229"/>
      <c r="I90" s="229"/>
      <c r="J90" s="229"/>
      <c r="K90" s="229"/>
      <c r="L90" s="229"/>
      <c r="M90" s="229"/>
      <c r="N90" s="229"/>
      <c r="O90" s="229"/>
      <c r="P90" s="229"/>
      <c r="Q90" s="229"/>
      <c r="R90" s="229"/>
      <c r="S90" s="229"/>
      <c r="T90" s="229"/>
    </row>
    <row r="91" spans="1:20" ht="15.75" hidden="1" x14ac:dyDescent="0.25">
      <c r="A91" s="229"/>
      <c r="B91" s="228"/>
      <c r="C91" s="229"/>
      <c r="D91" s="229"/>
      <c r="E91" s="229"/>
      <c r="F91" s="229"/>
      <c r="G91" s="229"/>
      <c r="H91" s="229"/>
      <c r="I91" s="229"/>
      <c r="J91" s="229"/>
      <c r="K91" s="229"/>
      <c r="L91" s="229"/>
      <c r="M91" s="229"/>
      <c r="N91" s="229"/>
      <c r="O91" s="229"/>
      <c r="P91" s="229"/>
      <c r="Q91" s="229"/>
      <c r="R91" s="229"/>
      <c r="S91" s="229"/>
      <c r="T91" s="229"/>
    </row>
    <row r="92" spans="1:20" ht="15.75" hidden="1" x14ac:dyDescent="0.25">
      <c r="A92" s="229"/>
      <c r="B92" s="228"/>
      <c r="C92" s="229"/>
      <c r="D92" s="229"/>
      <c r="E92" s="229"/>
      <c r="F92" s="229"/>
      <c r="G92" s="229"/>
      <c r="H92" s="229"/>
      <c r="I92" s="229"/>
      <c r="J92" s="229"/>
      <c r="K92" s="229"/>
      <c r="L92" s="229"/>
      <c r="M92" s="229"/>
      <c r="N92" s="229"/>
      <c r="O92" s="229"/>
      <c r="P92" s="229"/>
      <c r="Q92" s="229"/>
      <c r="R92" s="229"/>
      <c r="S92" s="229"/>
      <c r="T92" s="229"/>
    </row>
    <row r="93" spans="1:20" ht="15.75" hidden="1" x14ac:dyDescent="0.25">
      <c r="A93" s="229"/>
      <c r="B93" s="228"/>
      <c r="C93" s="229"/>
      <c r="D93" s="229"/>
      <c r="E93" s="229"/>
      <c r="F93" s="229"/>
      <c r="G93" s="229"/>
      <c r="H93" s="229"/>
      <c r="I93" s="229"/>
      <c r="J93" s="229"/>
      <c r="K93" s="229"/>
      <c r="L93" s="229"/>
      <c r="M93" s="229"/>
      <c r="N93" s="229"/>
      <c r="O93" s="229"/>
      <c r="P93" s="229"/>
      <c r="Q93" s="229"/>
      <c r="R93" s="229"/>
      <c r="S93" s="229"/>
      <c r="T93" s="229"/>
    </row>
    <row r="94" spans="1:20" ht="15.75" hidden="1" x14ac:dyDescent="0.25">
      <c r="A94" s="229"/>
      <c r="B94" s="228"/>
      <c r="C94" s="229"/>
      <c r="D94" s="229"/>
      <c r="E94" s="229"/>
      <c r="F94" s="229"/>
      <c r="G94" s="229"/>
      <c r="H94" s="229"/>
      <c r="I94" s="229"/>
      <c r="J94" s="229"/>
      <c r="K94" s="229"/>
      <c r="L94" s="229"/>
      <c r="M94" s="229"/>
      <c r="N94" s="229"/>
      <c r="O94" s="229"/>
      <c r="P94" s="229"/>
      <c r="Q94" s="229"/>
      <c r="R94" s="229"/>
      <c r="S94" s="229"/>
      <c r="T94" s="229"/>
    </row>
    <row r="95" spans="1:20" ht="15.75" hidden="1" x14ac:dyDescent="0.25">
      <c r="A95" s="229"/>
      <c r="B95" s="228"/>
      <c r="C95" s="229"/>
      <c r="D95" s="229"/>
      <c r="E95" s="229"/>
      <c r="F95" s="229"/>
      <c r="G95" s="229"/>
      <c r="H95" s="229"/>
      <c r="I95" s="229"/>
      <c r="J95" s="229"/>
      <c r="K95" s="229"/>
      <c r="L95" s="229"/>
      <c r="M95" s="229"/>
      <c r="N95" s="229"/>
      <c r="O95" s="229"/>
      <c r="P95" s="229"/>
      <c r="Q95" s="229"/>
      <c r="R95" s="229"/>
      <c r="S95" s="229"/>
      <c r="T95" s="229"/>
    </row>
    <row r="96" spans="1:20" ht="15.75" hidden="1" x14ac:dyDescent="0.25">
      <c r="A96" s="229"/>
      <c r="B96" s="228"/>
      <c r="C96" s="229"/>
      <c r="D96" s="229"/>
      <c r="E96" s="229"/>
      <c r="F96" s="229"/>
      <c r="G96" s="229"/>
      <c r="H96" s="229"/>
      <c r="I96" s="229"/>
      <c r="J96" s="229"/>
      <c r="K96" s="229"/>
      <c r="L96" s="229"/>
      <c r="M96" s="229"/>
      <c r="N96" s="229"/>
      <c r="O96" s="229"/>
      <c r="P96" s="229"/>
      <c r="Q96" s="229"/>
      <c r="R96" s="229"/>
      <c r="S96" s="229"/>
      <c r="T96" s="229"/>
    </row>
    <row r="97" spans="1:20" ht="15.75" hidden="1" x14ac:dyDescent="0.25">
      <c r="A97" s="229"/>
      <c r="B97" s="228"/>
      <c r="C97" s="229"/>
      <c r="D97" s="229"/>
      <c r="E97" s="229"/>
      <c r="F97" s="229"/>
      <c r="G97" s="229"/>
      <c r="H97" s="229"/>
      <c r="I97" s="229"/>
      <c r="J97" s="229"/>
      <c r="K97" s="229"/>
      <c r="L97" s="229"/>
      <c r="M97" s="229"/>
      <c r="N97" s="229"/>
      <c r="O97" s="229"/>
      <c r="P97" s="229"/>
      <c r="Q97" s="229"/>
      <c r="R97" s="229"/>
      <c r="S97" s="229"/>
      <c r="T97" s="229"/>
    </row>
    <row r="98" spans="1:20" ht="15.75" hidden="1" x14ac:dyDescent="0.25">
      <c r="A98" s="229"/>
      <c r="B98" s="228"/>
      <c r="C98" s="229"/>
      <c r="D98" s="229"/>
      <c r="E98" s="229"/>
      <c r="F98" s="229"/>
      <c r="G98" s="229"/>
      <c r="H98" s="229"/>
      <c r="I98" s="229"/>
      <c r="J98" s="229"/>
      <c r="K98" s="229"/>
      <c r="L98" s="229"/>
      <c r="M98" s="229"/>
      <c r="N98" s="229"/>
      <c r="O98" s="229"/>
      <c r="P98" s="229"/>
      <c r="Q98" s="229"/>
      <c r="R98" s="229"/>
      <c r="S98" s="229"/>
      <c r="T98" s="229"/>
    </row>
    <row r="99" spans="1:20" ht="15.75" hidden="1" x14ac:dyDescent="0.25">
      <c r="A99" s="229"/>
      <c r="B99" s="228"/>
      <c r="C99" s="229"/>
      <c r="D99" s="229"/>
      <c r="E99" s="229"/>
      <c r="F99" s="229"/>
      <c r="G99" s="229"/>
      <c r="H99" s="229"/>
      <c r="I99" s="229"/>
      <c r="J99" s="229"/>
      <c r="K99" s="229"/>
      <c r="L99" s="229"/>
      <c r="M99" s="229"/>
      <c r="N99" s="229"/>
      <c r="O99" s="229"/>
      <c r="P99" s="229"/>
      <c r="Q99" s="229"/>
      <c r="R99" s="229"/>
      <c r="S99" s="229"/>
      <c r="T99" s="229"/>
    </row>
    <row r="100" spans="1:20" ht="15.75" hidden="1" x14ac:dyDescent="0.25">
      <c r="A100" s="229"/>
      <c r="B100" s="228"/>
      <c r="C100" s="229"/>
      <c r="D100" s="229"/>
      <c r="E100" s="229"/>
      <c r="F100" s="229"/>
      <c r="G100" s="229"/>
      <c r="H100" s="229"/>
      <c r="I100" s="229"/>
      <c r="J100" s="229"/>
      <c r="K100" s="229"/>
      <c r="L100" s="229"/>
      <c r="M100" s="229"/>
      <c r="N100" s="229"/>
      <c r="O100" s="229"/>
      <c r="P100" s="229"/>
      <c r="Q100" s="229"/>
      <c r="R100" s="229"/>
      <c r="S100" s="229"/>
      <c r="T100" s="229"/>
    </row>
    <row r="101" spans="1:20" ht="15.75" hidden="1" x14ac:dyDescent="0.25">
      <c r="B101" s="228"/>
      <c r="C101" s="229"/>
      <c r="D101" s="229"/>
      <c r="E101" s="229"/>
      <c r="F101" s="229"/>
      <c r="G101" s="229"/>
      <c r="H101" s="229"/>
      <c r="I101" s="229"/>
      <c r="J101" s="229"/>
      <c r="K101" s="229"/>
      <c r="L101" s="229"/>
      <c r="M101" s="229"/>
      <c r="N101" s="229"/>
      <c r="O101" s="229"/>
      <c r="P101" s="229"/>
      <c r="Q101" s="229"/>
      <c r="R101" s="229"/>
      <c r="S101" s="229"/>
      <c r="T101" s="229"/>
    </row>
    <row r="102" spans="1:20" ht="15.75" hidden="1" x14ac:dyDescent="0.25">
      <c r="B102" s="228"/>
      <c r="C102" s="229"/>
      <c r="D102" s="229"/>
      <c r="E102" s="229"/>
      <c r="F102" s="229"/>
      <c r="G102" s="229"/>
      <c r="H102" s="229"/>
      <c r="I102" s="229"/>
      <c r="J102" s="229"/>
      <c r="K102" s="229"/>
      <c r="L102" s="229"/>
      <c r="M102" s="229"/>
      <c r="N102" s="229"/>
      <c r="O102" s="229"/>
      <c r="P102" s="229"/>
      <c r="Q102" s="229"/>
      <c r="R102" s="229"/>
      <c r="S102" s="229"/>
      <c r="T102" s="229"/>
    </row>
    <row r="103" spans="1:20" ht="15.75" hidden="1" x14ac:dyDescent="0.25">
      <c r="B103" s="228"/>
      <c r="C103" s="229"/>
      <c r="D103" s="229"/>
      <c r="E103" s="229"/>
      <c r="F103" s="229"/>
      <c r="G103" s="229"/>
      <c r="H103" s="229"/>
      <c r="I103" s="229"/>
      <c r="J103" s="229"/>
      <c r="K103" s="229"/>
      <c r="L103" s="229"/>
      <c r="M103" s="229"/>
      <c r="N103" s="229"/>
      <c r="O103" s="229"/>
      <c r="P103" s="229"/>
      <c r="Q103" s="229"/>
      <c r="R103" s="229"/>
      <c r="S103" s="229"/>
      <c r="T103" s="229"/>
    </row>
    <row r="104" spans="1:20" ht="15.75" hidden="1" x14ac:dyDescent="0.25">
      <c r="B104" s="228"/>
      <c r="C104" s="229"/>
      <c r="D104" s="229"/>
      <c r="E104" s="229"/>
      <c r="F104" s="229"/>
      <c r="G104" s="229"/>
      <c r="H104" s="229"/>
      <c r="I104" s="229"/>
      <c r="J104" s="229"/>
      <c r="K104" s="229"/>
      <c r="L104" s="229"/>
      <c r="M104" s="229"/>
      <c r="N104" s="229"/>
      <c r="O104" s="229"/>
      <c r="P104" s="229"/>
      <c r="Q104" s="229"/>
      <c r="R104" s="229"/>
      <c r="S104" s="229"/>
      <c r="T104" s="229"/>
    </row>
    <row r="105" spans="1:20" ht="15.75" hidden="1" x14ac:dyDescent="0.25">
      <c r="B105" s="228"/>
      <c r="C105" s="229"/>
      <c r="D105" s="229"/>
      <c r="E105" s="229"/>
      <c r="F105" s="229"/>
      <c r="G105" s="229"/>
      <c r="H105" s="229"/>
      <c r="I105" s="229"/>
      <c r="J105" s="229"/>
      <c r="K105" s="229"/>
      <c r="L105" s="229"/>
      <c r="M105" s="229"/>
      <c r="N105" s="229"/>
      <c r="O105" s="229"/>
      <c r="P105" s="229"/>
      <c r="Q105" s="229"/>
      <c r="R105" s="229"/>
      <c r="S105" s="229"/>
      <c r="T105" s="229"/>
    </row>
    <row r="106" spans="1:20" ht="15.75" hidden="1" x14ac:dyDescent="0.25">
      <c r="B106" s="228"/>
      <c r="C106" s="229"/>
      <c r="D106" s="229"/>
      <c r="E106" s="229"/>
      <c r="F106" s="229"/>
      <c r="G106" s="229"/>
      <c r="H106" s="229"/>
      <c r="I106" s="229"/>
      <c r="J106" s="229"/>
      <c r="K106" s="229"/>
      <c r="L106" s="229"/>
      <c r="M106" s="229"/>
      <c r="N106" s="229"/>
      <c r="O106" s="229"/>
      <c r="P106" s="229"/>
      <c r="Q106" s="229"/>
      <c r="R106" s="229"/>
      <c r="S106" s="229"/>
      <c r="T106" s="229"/>
    </row>
    <row r="107" spans="1:20" ht="15.75" hidden="1" x14ac:dyDescent="0.25">
      <c r="B107" s="228"/>
      <c r="C107" s="229"/>
      <c r="D107" s="229"/>
      <c r="E107" s="229"/>
      <c r="F107" s="229"/>
      <c r="G107" s="229"/>
      <c r="H107" s="229"/>
      <c r="I107" s="229"/>
      <c r="J107" s="229"/>
      <c r="K107" s="229"/>
      <c r="L107" s="229"/>
      <c r="M107" s="229"/>
      <c r="N107" s="229"/>
      <c r="O107" s="229"/>
      <c r="P107" s="229"/>
      <c r="Q107" s="229"/>
      <c r="R107" s="229"/>
      <c r="S107" s="229"/>
      <c r="T107" s="229"/>
    </row>
    <row r="108" spans="1:20" ht="15.75" hidden="1" x14ac:dyDescent="0.25">
      <c r="B108" s="228"/>
      <c r="C108" s="229"/>
      <c r="D108" s="229"/>
      <c r="E108" s="229"/>
      <c r="F108" s="229"/>
      <c r="G108" s="229"/>
      <c r="H108" s="229"/>
      <c r="I108" s="229"/>
      <c r="J108" s="229"/>
      <c r="K108" s="229"/>
      <c r="L108" s="229"/>
      <c r="M108" s="229"/>
      <c r="N108" s="229"/>
      <c r="O108" s="229"/>
      <c r="P108" s="229"/>
      <c r="Q108" s="229"/>
      <c r="R108" s="229"/>
      <c r="S108" s="229"/>
      <c r="T108" s="229"/>
    </row>
    <row r="109" spans="1:20" ht="15.75" hidden="1" x14ac:dyDescent="0.25">
      <c r="B109" s="228"/>
      <c r="C109" s="229"/>
      <c r="D109" s="229"/>
      <c r="E109" s="229"/>
      <c r="F109" s="229"/>
      <c r="G109" s="229"/>
      <c r="H109" s="229"/>
      <c r="I109" s="229"/>
      <c r="J109" s="229"/>
      <c r="K109" s="229"/>
      <c r="L109" s="229"/>
      <c r="M109" s="229"/>
      <c r="N109" s="229"/>
      <c r="O109" s="229"/>
      <c r="P109" s="229"/>
      <c r="Q109" s="229"/>
      <c r="R109" s="229"/>
      <c r="S109" s="229"/>
      <c r="T109" s="229"/>
    </row>
    <row r="110" spans="1:20" ht="15.75" hidden="1" x14ac:dyDescent="0.25">
      <c r="B110" s="228"/>
      <c r="C110" s="229"/>
      <c r="D110" s="229"/>
      <c r="E110" s="229"/>
      <c r="F110" s="229"/>
      <c r="G110" s="229"/>
      <c r="H110" s="229"/>
      <c r="I110" s="229"/>
      <c r="J110" s="229"/>
      <c r="K110" s="229"/>
      <c r="L110" s="229"/>
      <c r="M110" s="229"/>
      <c r="N110" s="229"/>
      <c r="O110" s="229"/>
      <c r="P110" s="229"/>
      <c r="Q110" s="229"/>
      <c r="R110" s="229"/>
      <c r="S110" s="229"/>
      <c r="T110" s="229"/>
    </row>
    <row r="111" spans="1:20" ht="15.75" hidden="1" x14ac:dyDescent="0.25">
      <c r="B111" s="228"/>
      <c r="C111" s="229"/>
      <c r="D111" s="229"/>
      <c r="E111" s="229"/>
      <c r="F111" s="229"/>
      <c r="G111" s="229"/>
      <c r="H111" s="229"/>
      <c r="I111" s="229"/>
      <c r="J111" s="229"/>
      <c r="K111" s="229"/>
      <c r="L111" s="229"/>
      <c r="M111" s="229"/>
      <c r="N111" s="229"/>
      <c r="O111" s="229"/>
      <c r="P111" s="229"/>
      <c r="Q111" s="229"/>
      <c r="R111" s="229"/>
      <c r="S111" s="229"/>
      <c r="T111" s="229"/>
    </row>
    <row r="112" spans="1:20" ht="15.75" hidden="1" x14ac:dyDescent="0.25">
      <c r="B112" s="228"/>
      <c r="C112" s="229"/>
      <c r="D112" s="229"/>
      <c r="E112" s="229"/>
      <c r="F112" s="229"/>
      <c r="G112" s="229"/>
      <c r="H112" s="229"/>
      <c r="I112" s="229"/>
      <c r="J112" s="229"/>
      <c r="K112" s="229"/>
      <c r="L112" s="229"/>
      <c r="M112" s="229"/>
      <c r="N112" s="229"/>
      <c r="O112" s="229"/>
      <c r="P112" s="229"/>
      <c r="Q112" s="229"/>
      <c r="R112" s="229"/>
      <c r="S112" s="229"/>
      <c r="T112" s="229"/>
    </row>
    <row r="113" spans="2:20" ht="15.75" hidden="1" x14ac:dyDescent="0.25">
      <c r="B113" s="228"/>
      <c r="C113" s="229"/>
      <c r="D113" s="229"/>
      <c r="E113" s="229"/>
      <c r="F113" s="229"/>
      <c r="G113" s="229"/>
      <c r="H113" s="229"/>
      <c r="I113" s="229"/>
      <c r="J113" s="229"/>
      <c r="K113" s="229"/>
      <c r="L113" s="229"/>
      <c r="M113" s="229"/>
      <c r="N113" s="229"/>
      <c r="O113" s="229"/>
      <c r="P113" s="229"/>
      <c r="Q113" s="229"/>
      <c r="R113" s="229"/>
      <c r="S113" s="229"/>
      <c r="T113" s="229"/>
    </row>
    <row r="114" spans="2:20" ht="15.75" hidden="1" x14ac:dyDescent="0.25">
      <c r="B114" s="228"/>
      <c r="C114" s="229"/>
      <c r="D114" s="229"/>
      <c r="E114" s="229"/>
      <c r="F114" s="229"/>
      <c r="G114" s="229"/>
      <c r="H114" s="229"/>
      <c r="I114" s="229"/>
      <c r="J114" s="229"/>
      <c r="K114" s="229"/>
      <c r="L114" s="229"/>
      <c r="M114" s="229"/>
      <c r="N114" s="229"/>
      <c r="O114" s="229"/>
      <c r="P114" s="229"/>
      <c r="Q114" s="229"/>
      <c r="R114" s="229"/>
      <c r="S114" s="229"/>
      <c r="T114" s="229"/>
    </row>
    <row r="115" spans="2:20" ht="15.75" hidden="1" x14ac:dyDescent="0.25">
      <c r="B115" s="228"/>
      <c r="C115" s="229"/>
      <c r="D115" s="229"/>
      <c r="E115" s="229"/>
      <c r="F115" s="229"/>
      <c r="G115" s="229"/>
      <c r="H115" s="229"/>
      <c r="I115" s="229"/>
      <c r="J115" s="229"/>
      <c r="K115" s="229"/>
      <c r="L115" s="229"/>
      <c r="M115" s="229"/>
      <c r="N115" s="229"/>
      <c r="O115" s="229"/>
      <c r="P115" s="229"/>
      <c r="Q115" s="229"/>
      <c r="R115" s="229"/>
      <c r="S115" s="229"/>
      <c r="T115" s="229"/>
    </row>
    <row r="116" spans="2:20" ht="15.75" hidden="1" x14ac:dyDescent="0.25">
      <c r="B116" s="228"/>
      <c r="C116" s="229"/>
      <c r="D116" s="229"/>
      <c r="E116" s="229"/>
      <c r="F116" s="229"/>
      <c r="G116" s="229"/>
      <c r="H116" s="229"/>
      <c r="I116" s="229"/>
      <c r="J116" s="229"/>
      <c r="K116" s="229"/>
      <c r="L116" s="229"/>
      <c r="M116" s="229"/>
      <c r="N116" s="229"/>
      <c r="O116" s="229"/>
      <c r="P116" s="229"/>
      <c r="Q116" s="229"/>
      <c r="R116" s="229"/>
      <c r="S116" s="229"/>
      <c r="T116" s="229"/>
    </row>
    <row r="117" spans="2:20" ht="15.75" hidden="1" x14ac:dyDescent="0.25">
      <c r="B117" s="228"/>
      <c r="C117" s="229"/>
      <c r="D117" s="229"/>
      <c r="E117" s="229"/>
      <c r="F117" s="229"/>
      <c r="G117" s="229"/>
      <c r="H117" s="229"/>
      <c r="I117" s="229"/>
      <c r="J117" s="229"/>
      <c r="K117" s="229"/>
      <c r="L117" s="229"/>
      <c r="M117" s="229"/>
      <c r="N117" s="229"/>
      <c r="O117" s="229"/>
      <c r="P117" s="229"/>
      <c r="Q117" s="229"/>
      <c r="R117" s="229"/>
      <c r="S117" s="229"/>
      <c r="T117" s="229"/>
    </row>
    <row r="118" spans="2:20" ht="15.75" hidden="1" x14ac:dyDescent="0.25">
      <c r="B118" s="228"/>
      <c r="C118" s="229"/>
      <c r="D118" s="229"/>
      <c r="E118" s="229"/>
      <c r="F118" s="229"/>
      <c r="G118" s="229"/>
      <c r="H118" s="229"/>
      <c r="I118" s="229"/>
      <c r="J118" s="229"/>
      <c r="K118" s="229"/>
      <c r="L118" s="229"/>
      <c r="M118" s="229"/>
      <c r="N118" s="229"/>
      <c r="O118" s="229"/>
      <c r="P118" s="229"/>
      <c r="Q118" s="229"/>
      <c r="R118" s="229"/>
      <c r="S118" s="229"/>
      <c r="T118" s="229"/>
    </row>
    <row r="119" spans="2:20" ht="15.75" hidden="1" x14ac:dyDescent="0.25">
      <c r="B119" s="228"/>
      <c r="C119" s="229"/>
      <c r="D119" s="229"/>
      <c r="E119" s="229"/>
      <c r="F119" s="229"/>
      <c r="G119" s="229"/>
      <c r="H119" s="229"/>
      <c r="I119" s="229"/>
      <c r="J119" s="229"/>
      <c r="K119" s="229"/>
      <c r="L119" s="229"/>
      <c r="M119" s="229"/>
      <c r="N119" s="229"/>
      <c r="O119" s="229"/>
      <c r="P119" s="229"/>
      <c r="Q119" s="229"/>
      <c r="R119" s="229"/>
      <c r="S119" s="229"/>
      <c r="T119" s="229"/>
    </row>
    <row r="120" spans="2:20" ht="15.75" hidden="1" x14ac:dyDescent="0.25">
      <c r="B120" s="228"/>
      <c r="C120" s="229"/>
      <c r="D120" s="229"/>
      <c r="E120" s="229"/>
      <c r="F120" s="229"/>
      <c r="G120" s="229"/>
      <c r="H120" s="229"/>
      <c r="I120" s="229"/>
      <c r="J120" s="229"/>
      <c r="K120" s="229"/>
      <c r="L120" s="229"/>
      <c r="M120" s="229"/>
      <c r="N120" s="229"/>
      <c r="O120" s="229"/>
      <c r="P120" s="229"/>
      <c r="Q120" s="229"/>
      <c r="R120" s="229"/>
      <c r="S120" s="229"/>
      <c r="T120" s="229"/>
    </row>
    <row r="121" spans="2:20" ht="15.75" hidden="1" x14ac:dyDescent="0.25">
      <c r="B121" s="228"/>
      <c r="C121" s="229"/>
      <c r="D121" s="229"/>
      <c r="E121" s="229"/>
      <c r="F121" s="229"/>
      <c r="G121" s="229"/>
      <c r="H121" s="229"/>
      <c r="I121" s="229"/>
      <c r="J121" s="229"/>
      <c r="K121" s="229"/>
      <c r="L121" s="229"/>
      <c r="M121" s="229"/>
      <c r="N121" s="229"/>
      <c r="O121" s="229"/>
      <c r="P121" s="229"/>
      <c r="Q121" s="229"/>
      <c r="R121" s="229"/>
      <c r="S121" s="229"/>
      <c r="T121" s="229"/>
    </row>
    <row r="122" spans="2:20" ht="15.75" hidden="1" x14ac:dyDescent="0.25">
      <c r="B122" s="228"/>
      <c r="C122" s="229"/>
      <c r="D122" s="229"/>
      <c r="E122" s="229"/>
      <c r="F122" s="229"/>
      <c r="G122" s="229"/>
      <c r="H122" s="229"/>
      <c r="I122" s="229"/>
      <c r="J122" s="229"/>
      <c r="K122" s="229"/>
      <c r="L122" s="229"/>
      <c r="M122" s="229"/>
      <c r="N122" s="229"/>
      <c r="O122" s="229"/>
      <c r="P122" s="229"/>
      <c r="Q122" s="229"/>
      <c r="R122" s="229"/>
      <c r="S122" s="229"/>
      <c r="T122" s="229"/>
    </row>
    <row r="123" spans="2:20" ht="15.75" hidden="1" x14ac:dyDescent="0.25">
      <c r="B123" s="228"/>
      <c r="C123" s="229"/>
      <c r="D123" s="229"/>
      <c r="E123" s="229"/>
      <c r="F123" s="229"/>
      <c r="G123" s="229"/>
      <c r="H123" s="229"/>
      <c r="I123" s="229"/>
      <c r="J123" s="229"/>
      <c r="K123" s="229"/>
      <c r="L123" s="229"/>
      <c r="M123" s="229"/>
      <c r="N123" s="229"/>
      <c r="O123" s="229"/>
      <c r="P123" s="229"/>
      <c r="Q123" s="229"/>
      <c r="R123" s="229"/>
      <c r="S123" s="229"/>
      <c r="T123" s="229"/>
    </row>
    <row r="124" spans="2:20" ht="15.75" hidden="1" x14ac:dyDescent="0.25">
      <c r="B124" s="228"/>
      <c r="C124" s="229"/>
      <c r="D124" s="229"/>
      <c r="E124" s="229"/>
      <c r="F124" s="229"/>
      <c r="G124" s="229"/>
      <c r="H124" s="229"/>
      <c r="I124" s="229"/>
      <c r="J124" s="229"/>
      <c r="K124" s="229"/>
      <c r="L124" s="229"/>
      <c r="M124" s="229"/>
      <c r="N124" s="229"/>
      <c r="O124" s="229"/>
      <c r="P124" s="229"/>
      <c r="Q124" s="229"/>
      <c r="R124" s="229"/>
      <c r="S124" s="229"/>
      <c r="T124" s="229"/>
    </row>
    <row r="125" spans="2:20" ht="15.75" hidden="1" x14ac:dyDescent="0.25">
      <c r="B125" s="228"/>
      <c r="C125" s="229"/>
      <c r="D125" s="229"/>
      <c r="E125" s="229"/>
      <c r="F125" s="229"/>
      <c r="G125" s="229"/>
      <c r="H125" s="229"/>
      <c r="I125" s="229"/>
      <c r="J125" s="229"/>
      <c r="K125" s="229"/>
      <c r="L125" s="229"/>
      <c r="M125" s="229"/>
      <c r="N125" s="229"/>
      <c r="O125" s="229"/>
      <c r="P125" s="229"/>
      <c r="Q125" s="229"/>
      <c r="R125" s="229"/>
      <c r="S125" s="229"/>
      <c r="T125" s="229"/>
    </row>
    <row r="126" spans="2:20" ht="15.75" hidden="1" x14ac:dyDescent="0.25">
      <c r="B126" s="228"/>
      <c r="C126" s="229"/>
      <c r="D126" s="229"/>
      <c r="E126" s="229"/>
      <c r="F126" s="229"/>
      <c r="G126" s="229"/>
      <c r="H126" s="229"/>
      <c r="I126" s="229"/>
      <c r="J126" s="229"/>
      <c r="K126" s="229"/>
      <c r="L126" s="229"/>
      <c r="M126" s="229"/>
      <c r="N126" s="229"/>
      <c r="O126" s="229"/>
      <c r="P126" s="229"/>
      <c r="Q126" s="229"/>
      <c r="R126" s="229"/>
      <c r="S126" s="229"/>
      <c r="T126" s="229"/>
    </row>
    <row r="127" spans="2:20" ht="15.75" hidden="1" x14ac:dyDescent="0.25">
      <c r="B127" s="228"/>
      <c r="C127" s="229"/>
      <c r="D127" s="229"/>
      <c r="E127" s="229"/>
      <c r="F127" s="229"/>
      <c r="G127" s="229"/>
      <c r="H127" s="229"/>
      <c r="I127" s="229"/>
      <c r="J127" s="229"/>
      <c r="K127" s="229"/>
      <c r="L127" s="229"/>
      <c r="M127" s="229"/>
      <c r="N127" s="229"/>
      <c r="O127" s="229"/>
      <c r="P127" s="229"/>
      <c r="Q127" s="229"/>
      <c r="R127" s="229"/>
      <c r="S127" s="229"/>
      <c r="T127" s="229"/>
    </row>
    <row r="128" spans="2:20" ht="15.75" hidden="1" x14ac:dyDescent="0.25">
      <c r="B128" s="228"/>
      <c r="C128" s="229"/>
      <c r="D128" s="229"/>
      <c r="E128" s="229"/>
      <c r="F128" s="229"/>
      <c r="G128" s="229"/>
      <c r="H128" s="229"/>
      <c r="I128" s="229"/>
      <c r="J128" s="229"/>
      <c r="K128" s="229"/>
      <c r="L128" s="229"/>
      <c r="M128" s="229"/>
      <c r="N128" s="229"/>
      <c r="O128" s="229"/>
      <c r="P128" s="229"/>
      <c r="Q128" s="229"/>
      <c r="R128" s="229"/>
      <c r="S128" s="229"/>
      <c r="T128" s="229"/>
    </row>
    <row r="129" spans="2:20" ht="15.75" hidden="1" x14ac:dyDescent="0.25">
      <c r="B129" s="228"/>
      <c r="C129" s="229"/>
      <c r="D129" s="229"/>
      <c r="E129" s="229"/>
      <c r="F129" s="229"/>
      <c r="G129" s="229"/>
      <c r="H129" s="229"/>
      <c r="I129" s="229"/>
      <c r="J129" s="229"/>
      <c r="K129" s="229"/>
      <c r="L129" s="229"/>
      <c r="M129" s="229"/>
      <c r="N129" s="229"/>
      <c r="O129" s="229"/>
      <c r="P129" s="229"/>
      <c r="Q129" s="229"/>
      <c r="R129" s="229"/>
      <c r="S129" s="229"/>
      <c r="T129" s="229"/>
    </row>
    <row r="130" spans="2:20" ht="15.75" hidden="1" x14ac:dyDescent="0.25">
      <c r="B130" s="228"/>
      <c r="C130" s="229"/>
      <c r="D130" s="229"/>
      <c r="E130" s="229"/>
      <c r="F130" s="229"/>
      <c r="G130" s="229"/>
      <c r="H130" s="229"/>
      <c r="I130" s="229"/>
      <c r="J130" s="229"/>
      <c r="K130" s="229"/>
      <c r="L130" s="229"/>
      <c r="M130" s="229"/>
      <c r="N130" s="229"/>
      <c r="O130" s="229"/>
      <c r="P130" s="229"/>
      <c r="Q130" s="229"/>
      <c r="R130" s="229"/>
      <c r="S130" s="229"/>
      <c r="T130" s="229"/>
    </row>
    <row r="131" spans="2:20" ht="15.75" hidden="1" x14ac:dyDescent="0.25">
      <c r="B131" s="228"/>
      <c r="C131" s="229"/>
      <c r="D131" s="229"/>
      <c r="E131" s="229"/>
      <c r="F131" s="229"/>
      <c r="G131" s="229"/>
      <c r="H131" s="229"/>
      <c r="I131" s="229"/>
      <c r="J131" s="229"/>
      <c r="K131" s="229"/>
      <c r="L131" s="229"/>
      <c r="M131" s="229"/>
      <c r="N131" s="229"/>
      <c r="O131" s="229"/>
      <c r="P131" s="229"/>
      <c r="Q131" s="229"/>
      <c r="R131" s="229"/>
      <c r="S131" s="229"/>
      <c r="T131" s="229"/>
    </row>
    <row r="132" spans="2:20" ht="15.75" hidden="1" x14ac:dyDescent="0.25">
      <c r="B132" s="228"/>
      <c r="C132" s="229"/>
      <c r="D132" s="229"/>
      <c r="E132" s="229"/>
      <c r="F132" s="229"/>
      <c r="G132" s="229"/>
      <c r="H132" s="229"/>
      <c r="I132" s="229"/>
      <c r="J132" s="229"/>
      <c r="K132" s="229"/>
      <c r="L132" s="229"/>
      <c r="M132" s="229"/>
      <c r="N132" s="229"/>
      <c r="O132" s="229"/>
      <c r="P132" s="229"/>
      <c r="Q132" s="229"/>
      <c r="R132" s="229"/>
      <c r="S132" s="229"/>
      <c r="T132" s="229"/>
    </row>
    <row r="133" spans="2:20" ht="15.75" hidden="1" x14ac:dyDescent="0.25">
      <c r="B133" s="228"/>
      <c r="C133" s="229"/>
      <c r="D133" s="229"/>
      <c r="E133" s="229"/>
      <c r="F133" s="229"/>
      <c r="G133" s="229"/>
      <c r="H133" s="229"/>
      <c r="I133" s="229"/>
      <c r="J133" s="229"/>
      <c r="K133" s="229"/>
      <c r="L133" s="229"/>
      <c r="M133" s="229"/>
      <c r="N133" s="229"/>
      <c r="O133" s="229"/>
      <c r="P133" s="229"/>
      <c r="Q133" s="229"/>
      <c r="R133" s="229"/>
      <c r="S133" s="229"/>
      <c r="T133" s="229"/>
    </row>
    <row r="134" spans="2:20" ht="15.75" hidden="1" x14ac:dyDescent="0.25">
      <c r="B134" s="228"/>
      <c r="C134" s="229"/>
      <c r="D134" s="229"/>
      <c r="E134" s="229"/>
      <c r="F134" s="229"/>
      <c r="G134" s="229"/>
      <c r="H134" s="229"/>
      <c r="I134" s="229"/>
      <c r="J134" s="229"/>
      <c r="K134" s="229"/>
      <c r="L134" s="229"/>
      <c r="M134" s="229"/>
      <c r="N134" s="229"/>
      <c r="O134" s="229"/>
      <c r="P134" s="229"/>
      <c r="Q134" s="229"/>
      <c r="R134" s="229"/>
      <c r="S134" s="229"/>
      <c r="T134" s="229"/>
    </row>
    <row r="135" spans="2:20" ht="15.75" hidden="1" x14ac:dyDescent="0.25">
      <c r="B135" s="228"/>
      <c r="C135" s="229"/>
      <c r="D135" s="229"/>
      <c r="E135" s="229"/>
      <c r="F135" s="229"/>
      <c r="G135" s="229"/>
      <c r="H135" s="229"/>
      <c r="I135" s="229"/>
      <c r="J135" s="229"/>
      <c r="K135" s="229"/>
      <c r="L135" s="229"/>
      <c r="M135" s="229"/>
      <c r="N135" s="229"/>
      <c r="O135" s="229"/>
      <c r="P135" s="229"/>
      <c r="Q135" s="229"/>
      <c r="R135" s="229"/>
      <c r="S135" s="229"/>
      <c r="T135" s="229"/>
    </row>
    <row r="136" spans="2:20" ht="15.75" hidden="1" x14ac:dyDescent="0.25">
      <c r="B136" s="228"/>
      <c r="C136" s="229"/>
      <c r="D136" s="229"/>
      <c r="E136" s="229"/>
      <c r="F136" s="229"/>
      <c r="G136" s="229"/>
      <c r="H136" s="229"/>
      <c r="I136" s="229"/>
      <c r="J136" s="229"/>
      <c r="K136" s="229"/>
      <c r="L136" s="229"/>
      <c r="M136" s="229"/>
      <c r="N136" s="229"/>
      <c r="O136" s="229"/>
      <c r="P136" s="229"/>
      <c r="Q136" s="229"/>
      <c r="R136" s="229"/>
      <c r="S136" s="229"/>
      <c r="T136" s="229"/>
    </row>
    <row r="137" spans="2:20" ht="15.75" hidden="1" x14ac:dyDescent="0.25">
      <c r="B137" s="228"/>
      <c r="C137" s="229"/>
      <c r="D137" s="229"/>
      <c r="E137" s="229"/>
      <c r="F137" s="229"/>
      <c r="G137" s="229"/>
      <c r="H137" s="229"/>
      <c r="I137" s="229"/>
      <c r="J137" s="229"/>
      <c r="K137" s="229"/>
      <c r="L137" s="229"/>
      <c r="M137" s="229"/>
      <c r="N137" s="229"/>
      <c r="O137" s="229"/>
      <c r="P137" s="229"/>
      <c r="Q137" s="229"/>
      <c r="R137" s="229"/>
      <c r="S137" s="229"/>
      <c r="T137" s="229"/>
    </row>
    <row r="138" spans="2:20" ht="15.75" hidden="1" x14ac:dyDescent="0.25">
      <c r="B138" s="228"/>
      <c r="C138" s="229"/>
      <c r="D138" s="229"/>
      <c r="E138" s="229"/>
      <c r="F138" s="229"/>
      <c r="G138" s="229"/>
      <c r="H138" s="229"/>
      <c r="I138" s="229"/>
      <c r="J138" s="229"/>
      <c r="K138" s="229"/>
      <c r="L138" s="229"/>
      <c r="M138" s="229"/>
      <c r="N138" s="229"/>
      <c r="O138" s="229"/>
      <c r="P138" s="229"/>
      <c r="Q138" s="229"/>
      <c r="R138" s="229"/>
      <c r="S138" s="229"/>
      <c r="T138" s="229"/>
    </row>
    <row r="139" spans="2:20" ht="15.75" hidden="1" x14ac:dyDescent="0.25">
      <c r="B139" s="228"/>
      <c r="C139" s="229"/>
      <c r="D139" s="229"/>
      <c r="E139" s="229"/>
      <c r="F139" s="229"/>
      <c r="G139" s="229"/>
      <c r="H139" s="229"/>
      <c r="I139" s="229"/>
      <c r="J139" s="229"/>
      <c r="K139" s="229"/>
      <c r="L139" s="229"/>
      <c r="M139" s="229"/>
      <c r="N139" s="229"/>
      <c r="O139" s="229"/>
      <c r="P139" s="229"/>
      <c r="Q139" s="229"/>
      <c r="R139" s="229"/>
      <c r="S139" s="229"/>
      <c r="T139" s="229"/>
    </row>
    <row r="140" spans="2:20" ht="15.75" hidden="1" x14ac:dyDescent="0.25">
      <c r="B140" s="228"/>
      <c r="C140" s="229"/>
      <c r="D140" s="229"/>
      <c r="E140" s="229"/>
      <c r="F140" s="229"/>
      <c r="G140" s="229"/>
      <c r="H140" s="229"/>
      <c r="I140" s="229"/>
      <c r="J140" s="229"/>
      <c r="K140" s="229"/>
      <c r="L140" s="229"/>
      <c r="M140" s="229"/>
      <c r="N140" s="229"/>
      <c r="O140" s="229"/>
      <c r="P140" s="229"/>
      <c r="Q140" s="229"/>
      <c r="R140" s="229"/>
      <c r="S140" s="229"/>
      <c r="T140" s="229"/>
    </row>
    <row r="141" spans="2:20" ht="15.75" hidden="1" x14ac:dyDescent="0.25">
      <c r="B141" s="228"/>
      <c r="C141" s="229"/>
      <c r="D141" s="229"/>
      <c r="E141" s="229"/>
      <c r="F141" s="229"/>
      <c r="G141" s="229"/>
      <c r="H141" s="229"/>
      <c r="I141" s="229"/>
      <c r="J141" s="229"/>
      <c r="K141" s="229"/>
      <c r="L141" s="229"/>
      <c r="M141" s="229"/>
      <c r="N141" s="229"/>
      <c r="O141" s="229"/>
      <c r="P141" s="229"/>
      <c r="Q141" s="229"/>
      <c r="R141" s="229"/>
      <c r="S141" s="229"/>
      <c r="T141" s="229"/>
    </row>
    <row r="142" spans="2:20" ht="15.75" hidden="1" x14ac:dyDescent="0.25">
      <c r="B142" s="228"/>
      <c r="C142" s="229"/>
      <c r="D142" s="229"/>
      <c r="E142" s="229"/>
      <c r="F142" s="229"/>
      <c r="G142" s="229"/>
      <c r="H142" s="229"/>
      <c r="I142" s="229"/>
      <c r="J142" s="229"/>
      <c r="K142" s="229"/>
      <c r="L142" s="229"/>
      <c r="M142" s="229"/>
      <c r="N142" s="229"/>
      <c r="O142" s="229"/>
      <c r="P142" s="229"/>
      <c r="Q142" s="229"/>
      <c r="R142" s="229"/>
      <c r="S142" s="229"/>
      <c r="T142" s="229"/>
    </row>
    <row r="143" spans="2:20" ht="15.75" hidden="1" x14ac:dyDescent="0.25">
      <c r="B143" s="228"/>
      <c r="C143" s="229"/>
      <c r="D143" s="229"/>
      <c r="E143" s="229"/>
      <c r="F143" s="229"/>
      <c r="G143" s="229"/>
      <c r="H143" s="229"/>
      <c r="I143" s="229"/>
      <c r="J143" s="229"/>
      <c r="K143" s="229"/>
      <c r="L143" s="229"/>
      <c r="M143" s="229"/>
      <c r="N143" s="229"/>
      <c r="O143" s="229"/>
      <c r="P143" s="229"/>
      <c r="Q143" s="229"/>
      <c r="R143" s="229"/>
      <c r="S143" s="229"/>
      <c r="T143" s="229"/>
    </row>
    <row r="144" spans="2:20" ht="15.75" hidden="1" x14ac:dyDescent="0.25">
      <c r="B144" s="228"/>
      <c r="C144" s="229"/>
      <c r="D144" s="229"/>
      <c r="E144" s="229"/>
      <c r="F144" s="229"/>
      <c r="G144" s="229"/>
      <c r="H144" s="229"/>
      <c r="I144" s="229"/>
      <c r="J144" s="229"/>
      <c r="K144" s="229"/>
      <c r="L144" s="229"/>
      <c r="M144" s="229"/>
      <c r="N144" s="229"/>
      <c r="O144" s="229"/>
      <c r="P144" s="229"/>
      <c r="Q144" s="229"/>
      <c r="R144" s="229"/>
      <c r="S144" s="229"/>
      <c r="T144" s="229"/>
    </row>
    <row r="145" spans="2:20" ht="15.75" hidden="1" x14ac:dyDescent="0.25">
      <c r="B145" s="228"/>
      <c r="C145" s="229"/>
      <c r="D145" s="229"/>
      <c r="E145" s="229"/>
      <c r="F145" s="229"/>
      <c r="G145" s="229"/>
      <c r="H145" s="229"/>
      <c r="I145" s="229"/>
      <c r="J145" s="229"/>
      <c r="K145" s="229"/>
      <c r="L145" s="229"/>
      <c r="M145" s="229"/>
      <c r="N145" s="229"/>
      <c r="O145" s="229"/>
      <c r="P145" s="229"/>
      <c r="Q145" s="229"/>
      <c r="R145" s="229"/>
      <c r="S145" s="229"/>
      <c r="T145" s="229"/>
    </row>
    <row r="146" spans="2:20" ht="15.75" hidden="1" x14ac:dyDescent="0.25">
      <c r="B146" s="228"/>
      <c r="C146" s="229"/>
      <c r="D146" s="229"/>
      <c r="E146" s="229"/>
      <c r="F146" s="229"/>
      <c r="G146" s="229"/>
      <c r="H146" s="229"/>
      <c r="I146" s="229"/>
      <c r="J146" s="229"/>
      <c r="K146" s="229"/>
      <c r="L146" s="229"/>
      <c r="M146" s="229"/>
      <c r="N146" s="229"/>
      <c r="O146" s="229"/>
      <c r="P146" s="229"/>
      <c r="Q146" s="229"/>
      <c r="R146" s="229"/>
      <c r="S146" s="229"/>
      <c r="T146" s="229"/>
    </row>
    <row r="147" spans="2:20" ht="15.75" hidden="1" x14ac:dyDescent="0.25">
      <c r="B147" s="228"/>
      <c r="C147" s="229"/>
      <c r="D147" s="229"/>
      <c r="E147" s="229"/>
      <c r="F147" s="229"/>
      <c r="G147" s="229"/>
      <c r="H147" s="229"/>
      <c r="I147" s="229"/>
      <c r="J147" s="229"/>
      <c r="K147" s="229"/>
      <c r="L147" s="229"/>
      <c r="M147" s="229"/>
      <c r="N147" s="229"/>
      <c r="O147" s="229"/>
      <c r="P147" s="229"/>
      <c r="Q147" s="229"/>
      <c r="R147" s="229"/>
      <c r="S147" s="229"/>
      <c r="T147" s="229"/>
    </row>
    <row r="148" spans="2:20" ht="15.75" hidden="1" x14ac:dyDescent="0.25">
      <c r="B148" s="228"/>
      <c r="C148" s="229"/>
      <c r="D148" s="229"/>
      <c r="E148" s="229"/>
      <c r="F148" s="229"/>
      <c r="G148" s="229"/>
      <c r="H148" s="229"/>
      <c r="I148" s="229"/>
      <c r="J148" s="229"/>
      <c r="K148" s="229"/>
      <c r="L148" s="229"/>
      <c r="M148" s="229"/>
      <c r="N148" s="229"/>
      <c r="O148" s="229"/>
      <c r="P148" s="229"/>
      <c r="Q148" s="229"/>
      <c r="R148" s="229"/>
      <c r="S148" s="229"/>
      <c r="T148" s="229"/>
    </row>
    <row r="149" spans="2:20" ht="15.75" hidden="1" x14ac:dyDescent="0.25">
      <c r="B149" s="228"/>
      <c r="C149" s="229"/>
      <c r="D149" s="229"/>
      <c r="E149" s="229"/>
      <c r="F149" s="229"/>
      <c r="G149" s="229"/>
      <c r="H149" s="229"/>
      <c r="I149" s="229"/>
      <c r="J149" s="229"/>
      <c r="K149" s="229"/>
      <c r="L149" s="229"/>
      <c r="M149" s="229"/>
      <c r="N149" s="229"/>
      <c r="O149" s="229"/>
      <c r="P149" s="229"/>
      <c r="Q149" s="229"/>
      <c r="R149" s="229"/>
      <c r="S149" s="229"/>
      <c r="T149" s="229"/>
    </row>
    <row r="150" spans="2:20" ht="15.75" hidden="1" x14ac:dyDescent="0.25">
      <c r="B150" s="228"/>
      <c r="C150" s="229"/>
      <c r="D150" s="229"/>
      <c r="E150" s="229"/>
      <c r="F150" s="229"/>
      <c r="G150" s="229"/>
      <c r="H150" s="229"/>
      <c r="I150" s="229"/>
      <c r="J150" s="229"/>
      <c r="K150" s="229"/>
      <c r="L150" s="229"/>
      <c r="M150" s="229"/>
      <c r="N150" s="229"/>
      <c r="O150" s="229"/>
      <c r="P150" s="229"/>
      <c r="Q150" s="229"/>
      <c r="R150" s="229"/>
      <c r="S150" s="229"/>
      <c r="T150" s="229"/>
    </row>
    <row r="151" spans="2:20" ht="15.75" hidden="1" x14ac:dyDescent="0.25">
      <c r="B151" s="228"/>
      <c r="C151" s="229"/>
      <c r="D151" s="229"/>
      <c r="E151" s="229"/>
      <c r="F151" s="229"/>
      <c r="G151" s="229"/>
      <c r="H151" s="229"/>
      <c r="I151" s="229"/>
      <c r="J151" s="229"/>
      <c r="K151" s="229"/>
      <c r="L151" s="229"/>
      <c r="M151" s="229"/>
      <c r="N151" s="229"/>
      <c r="O151" s="229"/>
      <c r="P151" s="229"/>
      <c r="Q151" s="229"/>
      <c r="R151" s="229"/>
      <c r="S151" s="229"/>
      <c r="T151" s="229"/>
    </row>
    <row r="152" spans="2:20" ht="15.75" hidden="1" x14ac:dyDescent="0.25">
      <c r="B152" s="228"/>
      <c r="C152" s="229"/>
      <c r="D152" s="229"/>
      <c r="E152" s="229"/>
      <c r="F152" s="229"/>
      <c r="G152" s="229"/>
      <c r="H152" s="229"/>
      <c r="I152" s="229"/>
      <c r="J152" s="229"/>
      <c r="K152" s="229"/>
      <c r="L152" s="229"/>
      <c r="M152" s="229"/>
      <c r="N152" s="229"/>
      <c r="O152" s="229"/>
      <c r="P152" s="229"/>
      <c r="Q152" s="229"/>
      <c r="R152" s="229"/>
      <c r="S152" s="229"/>
      <c r="T152" s="229"/>
    </row>
    <row r="153" spans="2:20" ht="15.75" hidden="1" x14ac:dyDescent="0.25">
      <c r="B153" s="228"/>
      <c r="C153" s="229"/>
      <c r="D153" s="229"/>
      <c r="E153" s="229"/>
      <c r="F153" s="229"/>
      <c r="G153" s="229"/>
      <c r="H153" s="229"/>
      <c r="I153" s="229"/>
      <c r="J153" s="229"/>
      <c r="K153" s="229"/>
      <c r="L153" s="229"/>
      <c r="M153" s="229"/>
      <c r="N153" s="229"/>
      <c r="O153" s="229"/>
      <c r="P153" s="229"/>
      <c r="Q153" s="229"/>
      <c r="R153" s="229"/>
      <c r="S153" s="229"/>
      <c r="T153" s="229"/>
    </row>
    <row r="154" spans="2:20" ht="15.75" hidden="1" x14ac:dyDescent="0.25">
      <c r="B154" s="228"/>
      <c r="C154" s="229"/>
      <c r="D154" s="229"/>
      <c r="E154" s="229"/>
      <c r="F154" s="229"/>
      <c r="G154" s="229"/>
      <c r="H154" s="229"/>
      <c r="I154" s="229"/>
      <c r="J154" s="229"/>
      <c r="K154" s="229"/>
      <c r="L154" s="229"/>
      <c r="M154" s="229"/>
      <c r="N154" s="229"/>
      <c r="O154" s="229"/>
      <c r="P154" s="229"/>
      <c r="Q154" s="229"/>
      <c r="R154" s="229"/>
      <c r="S154" s="229"/>
      <c r="T154" s="229"/>
    </row>
    <row r="155" spans="2:20" ht="15.75" hidden="1" x14ac:dyDescent="0.25">
      <c r="B155" s="228"/>
      <c r="C155" s="229"/>
      <c r="D155" s="229"/>
      <c r="E155" s="229"/>
      <c r="F155" s="229"/>
      <c r="G155" s="229"/>
      <c r="H155" s="229"/>
      <c r="I155" s="229"/>
      <c r="J155" s="229"/>
      <c r="K155" s="229"/>
      <c r="L155" s="229"/>
      <c r="M155" s="229"/>
      <c r="N155" s="229"/>
      <c r="O155" s="229"/>
      <c r="P155" s="229"/>
      <c r="Q155" s="229"/>
      <c r="R155" s="229"/>
      <c r="S155" s="229"/>
      <c r="T155" s="229"/>
    </row>
    <row r="156" spans="2:20" ht="15.75" hidden="1" x14ac:dyDescent="0.25">
      <c r="B156" s="228"/>
      <c r="C156" s="229"/>
      <c r="D156" s="229"/>
      <c r="E156" s="229"/>
      <c r="F156" s="229"/>
      <c r="G156" s="229"/>
      <c r="H156" s="229"/>
      <c r="I156" s="229"/>
      <c r="J156" s="229"/>
      <c r="K156" s="229"/>
      <c r="L156" s="229"/>
      <c r="M156" s="229"/>
      <c r="N156" s="229"/>
      <c r="O156" s="229"/>
      <c r="P156" s="229"/>
      <c r="Q156" s="229"/>
      <c r="R156" s="229"/>
      <c r="S156" s="229"/>
      <c r="T156" s="229"/>
    </row>
    <row r="157" spans="2:20" ht="15.75" hidden="1" x14ac:dyDescent="0.25">
      <c r="B157" s="228"/>
      <c r="C157" s="229"/>
      <c r="D157" s="229"/>
      <c r="E157" s="229"/>
      <c r="F157" s="229"/>
      <c r="G157" s="229"/>
      <c r="H157" s="229"/>
      <c r="I157" s="229"/>
      <c r="J157" s="229"/>
      <c r="K157" s="229"/>
      <c r="L157" s="229"/>
      <c r="M157" s="229"/>
      <c r="N157" s="229"/>
      <c r="O157" s="229"/>
      <c r="P157" s="229"/>
      <c r="Q157" s="229"/>
      <c r="R157" s="229"/>
      <c r="S157" s="229"/>
      <c r="T157" s="229"/>
    </row>
    <row r="158" spans="2:20" ht="15.75" hidden="1" x14ac:dyDescent="0.25">
      <c r="B158" s="228"/>
      <c r="C158" s="229"/>
      <c r="D158" s="229"/>
      <c r="E158" s="229"/>
      <c r="F158" s="229"/>
      <c r="G158" s="229"/>
      <c r="H158" s="229"/>
      <c r="I158" s="229"/>
      <c r="J158" s="229"/>
      <c r="K158" s="229"/>
      <c r="L158" s="229"/>
      <c r="M158" s="229"/>
      <c r="N158" s="229"/>
      <c r="O158" s="229"/>
      <c r="P158" s="229"/>
      <c r="Q158" s="229"/>
      <c r="R158" s="229"/>
      <c r="S158" s="229"/>
      <c r="T158" s="229"/>
    </row>
    <row r="159" spans="2:20" ht="15.75" hidden="1" x14ac:dyDescent="0.25">
      <c r="B159" s="228"/>
      <c r="C159" s="229"/>
      <c r="D159" s="229"/>
      <c r="E159" s="229"/>
      <c r="F159" s="229"/>
      <c r="G159" s="229"/>
      <c r="H159" s="229"/>
      <c r="I159" s="229"/>
      <c r="J159" s="229"/>
      <c r="K159" s="229"/>
      <c r="L159" s="229"/>
      <c r="M159" s="229"/>
      <c r="N159" s="229"/>
      <c r="O159" s="229"/>
      <c r="P159" s="229"/>
      <c r="Q159" s="229"/>
      <c r="R159" s="229"/>
      <c r="S159" s="229"/>
      <c r="T159" s="229"/>
    </row>
    <row r="160" spans="2:20" ht="15.75" hidden="1" x14ac:dyDescent="0.25">
      <c r="B160" s="228"/>
      <c r="C160" s="229"/>
      <c r="D160" s="229"/>
      <c r="E160" s="229"/>
      <c r="F160" s="229"/>
      <c r="G160" s="229"/>
      <c r="H160" s="229"/>
      <c r="I160" s="229"/>
      <c r="J160" s="229"/>
      <c r="K160" s="229"/>
      <c r="L160" s="229"/>
      <c r="M160" s="229"/>
      <c r="N160" s="229"/>
      <c r="O160" s="229"/>
      <c r="P160" s="229"/>
      <c r="Q160" s="229"/>
      <c r="R160" s="229"/>
      <c r="S160" s="229"/>
      <c r="T160" s="229"/>
    </row>
    <row r="161" spans="2:20" ht="15.75" hidden="1" x14ac:dyDescent="0.25">
      <c r="B161" s="228"/>
      <c r="C161" s="229"/>
      <c r="D161" s="229"/>
      <c r="E161" s="229"/>
      <c r="F161" s="229"/>
      <c r="G161" s="229"/>
      <c r="H161" s="229"/>
      <c r="I161" s="229"/>
      <c r="J161" s="229"/>
      <c r="K161" s="229"/>
      <c r="L161" s="229"/>
      <c r="M161" s="229"/>
      <c r="N161" s="229"/>
      <c r="O161" s="229"/>
      <c r="P161" s="229"/>
      <c r="Q161" s="229"/>
      <c r="R161" s="229"/>
      <c r="S161" s="229"/>
      <c r="T161" s="229"/>
    </row>
    <row r="162" spans="2:20" ht="15.75" hidden="1" x14ac:dyDescent="0.25">
      <c r="B162" s="228"/>
      <c r="C162" s="229"/>
      <c r="D162" s="229"/>
      <c r="E162" s="229"/>
      <c r="F162" s="229"/>
      <c r="G162" s="229"/>
      <c r="H162" s="229"/>
      <c r="I162" s="229"/>
      <c r="J162" s="229"/>
      <c r="K162" s="229"/>
      <c r="L162" s="229"/>
      <c r="M162" s="229"/>
      <c r="N162" s="229"/>
      <c r="O162" s="229"/>
      <c r="P162" s="229"/>
      <c r="Q162" s="229"/>
      <c r="R162" s="229"/>
      <c r="S162" s="229"/>
      <c r="T162" s="229"/>
    </row>
    <row r="163" spans="2:20" ht="15.75" hidden="1" x14ac:dyDescent="0.25">
      <c r="B163" s="228"/>
      <c r="C163" s="229"/>
      <c r="D163" s="229"/>
      <c r="E163" s="229"/>
      <c r="F163" s="229"/>
      <c r="G163" s="229"/>
      <c r="H163" s="229"/>
      <c r="I163" s="229"/>
      <c r="J163" s="229"/>
      <c r="K163" s="229"/>
      <c r="L163" s="229"/>
      <c r="M163" s="229"/>
      <c r="N163" s="229"/>
      <c r="O163" s="229"/>
      <c r="P163" s="229"/>
      <c r="Q163" s="229"/>
      <c r="R163" s="229"/>
      <c r="S163" s="229"/>
      <c r="T163" s="229"/>
    </row>
    <row r="164" spans="2:20" ht="15.75" hidden="1" x14ac:dyDescent="0.25">
      <c r="B164" s="228"/>
      <c r="C164" s="229"/>
      <c r="D164" s="229"/>
      <c r="E164" s="229"/>
      <c r="F164" s="229"/>
      <c r="G164" s="229"/>
      <c r="H164" s="229"/>
      <c r="I164" s="229"/>
      <c r="J164" s="229"/>
      <c r="K164" s="229"/>
      <c r="L164" s="229"/>
      <c r="M164" s="229"/>
      <c r="N164" s="229"/>
      <c r="O164" s="229"/>
      <c r="P164" s="229"/>
      <c r="Q164" s="229"/>
      <c r="R164" s="229"/>
      <c r="S164" s="229"/>
      <c r="T164" s="229"/>
    </row>
    <row r="165" spans="2:20" ht="15.75" hidden="1" x14ac:dyDescent="0.25">
      <c r="B165" s="228"/>
      <c r="C165" s="229"/>
      <c r="D165" s="229"/>
      <c r="E165" s="229"/>
      <c r="F165" s="229"/>
      <c r="G165" s="229"/>
      <c r="H165" s="229"/>
      <c r="I165" s="229"/>
      <c r="J165" s="229"/>
      <c r="K165" s="229"/>
      <c r="L165" s="229"/>
      <c r="M165" s="229"/>
      <c r="N165" s="229"/>
      <c r="O165" s="229"/>
      <c r="P165" s="229"/>
      <c r="Q165" s="229"/>
      <c r="R165" s="229"/>
      <c r="S165" s="229"/>
      <c r="T165" s="229"/>
    </row>
    <row r="166" spans="2:20" ht="15.75" hidden="1" x14ac:dyDescent="0.25">
      <c r="B166" s="228"/>
      <c r="C166" s="229"/>
      <c r="D166" s="229"/>
      <c r="E166" s="229"/>
      <c r="F166" s="229"/>
      <c r="G166" s="229"/>
      <c r="H166" s="229"/>
      <c r="I166" s="229"/>
      <c r="J166" s="229"/>
      <c r="K166" s="229"/>
      <c r="L166" s="229"/>
      <c r="M166" s="229"/>
      <c r="N166" s="229"/>
      <c r="O166" s="229"/>
      <c r="P166" s="229"/>
      <c r="Q166" s="229"/>
      <c r="R166" s="229"/>
      <c r="S166" s="229"/>
      <c r="T166" s="229"/>
    </row>
    <row r="167" spans="2:20" ht="15.75" hidden="1" x14ac:dyDescent="0.25">
      <c r="B167" s="228"/>
      <c r="C167" s="229"/>
      <c r="D167" s="229"/>
      <c r="E167" s="229"/>
      <c r="F167" s="229"/>
      <c r="G167" s="229"/>
      <c r="H167" s="229"/>
      <c r="I167" s="229"/>
      <c r="J167" s="229"/>
      <c r="K167" s="229"/>
      <c r="L167" s="229"/>
      <c r="M167" s="229"/>
      <c r="N167" s="229"/>
      <c r="O167" s="229"/>
      <c r="P167" s="229"/>
      <c r="Q167" s="229"/>
      <c r="R167" s="229"/>
      <c r="S167" s="229"/>
      <c r="T167" s="229"/>
    </row>
    <row r="168" spans="2:20" ht="15.75" hidden="1" x14ac:dyDescent="0.25">
      <c r="B168" s="228"/>
      <c r="C168" s="229"/>
      <c r="D168" s="229"/>
      <c r="E168" s="229"/>
      <c r="F168" s="229"/>
      <c r="G168" s="229"/>
      <c r="H168" s="229"/>
      <c r="I168" s="229"/>
      <c r="J168" s="229"/>
      <c r="K168" s="229"/>
      <c r="L168" s="229"/>
      <c r="M168" s="229"/>
      <c r="N168" s="229"/>
      <c r="O168" s="229"/>
      <c r="P168" s="229"/>
      <c r="Q168" s="229"/>
      <c r="R168" s="229"/>
      <c r="S168" s="229"/>
      <c r="T168" s="229"/>
    </row>
    <row r="169" spans="2:20" ht="15.75" hidden="1" x14ac:dyDescent="0.25">
      <c r="B169" s="228"/>
      <c r="C169" s="229"/>
      <c r="D169" s="229"/>
      <c r="E169" s="229"/>
      <c r="F169" s="229"/>
      <c r="G169" s="229"/>
      <c r="H169" s="229"/>
      <c r="I169" s="229"/>
      <c r="J169" s="229"/>
      <c r="K169" s="229"/>
      <c r="L169" s="229"/>
      <c r="M169" s="229"/>
      <c r="N169" s="229"/>
      <c r="O169" s="229"/>
      <c r="P169" s="229"/>
      <c r="Q169" s="229"/>
      <c r="R169" s="229"/>
      <c r="S169" s="229"/>
      <c r="T169" s="229"/>
    </row>
    <row r="170" spans="2:20" ht="15.75" hidden="1" x14ac:dyDescent="0.25">
      <c r="B170" s="228"/>
      <c r="C170" s="229"/>
      <c r="D170" s="229"/>
      <c r="E170" s="229"/>
      <c r="F170" s="229"/>
      <c r="G170" s="229"/>
      <c r="H170" s="229"/>
      <c r="I170" s="229"/>
      <c r="J170" s="229"/>
      <c r="K170" s="229"/>
      <c r="L170" s="229"/>
      <c r="M170" s="229"/>
      <c r="N170" s="229"/>
      <c r="O170" s="229"/>
      <c r="P170" s="229"/>
      <c r="Q170" s="229"/>
      <c r="R170" s="229"/>
      <c r="S170" s="229"/>
      <c r="T170" s="229"/>
    </row>
    <row r="171" spans="2:20" ht="15.75" hidden="1" x14ac:dyDescent="0.25">
      <c r="B171" s="228"/>
      <c r="C171" s="229"/>
      <c r="D171" s="229"/>
      <c r="E171" s="229"/>
      <c r="F171" s="229"/>
      <c r="G171" s="229"/>
      <c r="H171" s="229"/>
      <c r="I171" s="229"/>
      <c r="J171" s="229"/>
      <c r="K171" s="229"/>
      <c r="L171" s="229"/>
      <c r="M171" s="229"/>
      <c r="N171" s="229"/>
      <c r="O171" s="229"/>
      <c r="P171" s="229"/>
      <c r="Q171" s="229"/>
      <c r="R171" s="229"/>
      <c r="S171" s="229"/>
      <c r="T171" s="229"/>
    </row>
    <row r="172" spans="2:20" ht="15.75" hidden="1" x14ac:dyDescent="0.25">
      <c r="B172" s="228"/>
      <c r="C172" s="229"/>
      <c r="D172" s="229"/>
      <c r="E172" s="229"/>
      <c r="F172" s="229"/>
      <c r="G172" s="229"/>
      <c r="H172" s="229"/>
      <c r="I172" s="229"/>
      <c r="J172" s="229"/>
      <c r="K172" s="229"/>
      <c r="L172" s="229"/>
      <c r="M172" s="229"/>
      <c r="N172" s="229"/>
      <c r="O172" s="229"/>
      <c r="P172" s="229"/>
      <c r="Q172" s="229"/>
      <c r="R172" s="229"/>
      <c r="S172" s="229"/>
      <c r="T172" s="229"/>
    </row>
    <row r="173" spans="2:20" ht="15.75" hidden="1" x14ac:dyDescent="0.25">
      <c r="B173" s="228"/>
      <c r="C173" s="229"/>
      <c r="D173" s="229"/>
      <c r="E173" s="229"/>
      <c r="F173" s="229"/>
      <c r="G173" s="229"/>
      <c r="H173" s="229"/>
      <c r="I173" s="229"/>
      <c r="J173" s="229"/>
      <c r="K173" s="229"/>
      <c r="L173" s="229"/>
      <c r="M173" s="229"/>
      <c r="N173" s="229"/>
      <c r="O173" s="229"/>
      <c r="P173" s="229"/>
      <c r="Q173" s="229"/>
      <c r="R173" s="229"/>
      <c r="S173" s="229"/>
      <c r="T173" s="229"/>
    </row>
    <row r="174" spans="2:20" ht="15.75" hidden="1" x14ac:dyDescent="0.25">
      <c r="B174" s="228"/>
      <c r="C174" s="229"/>
      <c r="D174" s="229"/>
      <c r="E174" s="229"/>
      <c r="F174" s="229"/>
      <c r="G174" s="229"/>
      <c r="H174" s="229"/>
      <c r="I174" s="229"/>
      <c r="J174" s="229"/>
      <c r="K174" s="229"/>
      <c r="L174" s="229"/>
      <c r="M174" s="229"/>
      <c r="N174" s="229"/>
      <c r="O174" s="229"/>
      <c r="P174" s="229"/>
      <c r="Q174" s="229"/>
      <c r="R174" s="229"/>
      <c r="S174" s="229"/>
      <c r="T174" s="229"/>
    </row>
    <row r="175" spans="2:20" ht="15.75" hidden="1" x14ac:dyDescent="0.25">
      <c r="B175" s="228"/>
      <c r="C175" s="229"/>
      <c r="D175" s="229"/>
      <c r="E175" s="229"/>
      <c r="F175" s="229"/>
      <c r="G175" s="229"/>
      <c r="H175" s="229"/>
      <c r="I175" s="229"/>
      <c r="J175" s="229"/>
      <c r="K175" s="229"/>
      <c r="L175" s="229"/>
      <c r="M175" s="229"/>
      <c r="N175" s="229"/>
      <c r="O175" s="229"/>
      <c r="P175" s="229"/>
      <c r="Q175" s="229"/>
      <c r="R175" s="229"/>
      <c r="S175" s="229"/>
      <c r="T175" s="229"/>
    </row>
    <row r="176" spans="2:20" ht="15.75" hidden="1" x14ac:dyDescent="0.25">
      <c r="B176" s="228"/>
      <c r="C176" s="229"/>
      <c r="D176" s="229"/>
      <c r="E176" s="229"/>
      <c r="F176" s="229"/>
      <c r="G176" s="229"/>
      <c r="H176" s="229"/>
      <c r="I176" s="229"/>
      <c r="J176" s="229"/>
      <c r="K176" s="229"/>
      <c r="L176" s="229"/>
      <c r="M176" s="229"/>
      <c r="N176" s="229"/>
      <c r="O176" s="229"/>
      <c r="P176" s="229"/>
      <c r="Q176" s="229"/>
      <c r="R176" s="229"/>
      <c r="S176" s="229"/>
      <c r="T176" s="229"/>
    </row>
    <row r="177" spans="2:20" ht="15.75" hidden="1" x14ac:dyDescent="0.25">
      <c r="B177" s="228"/>
      <c r="C177" s="229"/>
      <c r="D177" s="229"/>
      <c r="E177" s="229"/>
      <c r="F177" s="229"/>
      <c r="G177" s="229"/>
      <c r="H177" s="229"/>
      <c r="I177" s="229"/>
      <c r="J177" s="229"/>
      <c r="K177" s="229"/>
      <c r="L177" s="229"/>
      <c r="M177" s="229"/>
      <c r="N177" s="229"/>
      <c r="O177" s="229"/>
      <c r="P177" s="229"/>
      <c r="Q177" s="229"/>
      <c r="R177" s="229"/>
      <c r="S177" s="229"/>
      <c r="T177" s="229"/>
    </row>
    <row r="178" spans="2:20" ht="15.75" hidden="1" x14ac:dyDescent="0.25">
      <c r="B178" s="228"/>
      <c r="C178" s="229"/>
      <c r="D178" s="229"/>
      <c r="E178" s="229"/>
      <c r="F178" s="229"/>
      <c r="G178" s="229"/>
      <c r="H178" s="229"/>
      <c r="I178" s="229"/>
      <c r="J178" s="229"/>
      <c r="K178" s="229"/>
      <c r="L178" s="229"/>
      <c r="M178" s="229"/>
      <c r="N178" s="229"/>
      <c r="O178" s="229"/>
      <c r="P178" s="229"/>
      <c r="Q178" s="229"/>
      <c r="R178" s="229"/>
      <c r="S178" s="229"/>
      <c r="T178" s="229"/>
    </row>
    <row r="179" spans="2:20" ht="15.75" hidden="1" x14ac:dyDescent="0.25">
      <c r="B179" s="228"/>
      <c r="C179" s="229"/>
      <c r="D179" s="229"/>
      <c r="E179" s="229"/>
      <c r="F179" s="229"/>
      <c r="G179" s="229"/>
      <c r="H179" s="229"/>
      <c r="I179" s="229"/>
      <c r="J179" s="229"/>
      <c r="K179" s="229"/>
      <c r="L179" s="229"/>
      <c r="M179" s="229"/>
      <c r="N179" s="229"/>
      <c r="O179" s="229"/>
      <c r="P179" s="229"/>
      <c r="Q179" s="229"/>
      <c r="R179" s="229"/>
      <c r="S179" s="229"/>
      <c r="T179" s="229"/>
    </row>
    <row r="180" spans="2:20" ht="15.75" hidden="1" x14ac:dyDescent="0.25">
      <c r="B180" s="228"/>
      <c r="C180" s="229"/>
      <c r="D180" s="229"/>
      <c r="E180" s="229"/>
      <c r="F180" s="229"/>
      <c r="G180" s="229"/>
      <c r="H180" s="229"/>
      <c r="I180" s="229"/>
      <c r="J180" s="229"/>
      <c r="K180" s="229"/>
      <c r="L180" s="229"/>
      <c r="M180" s="229"/>
      <c r="N180" s="229"/>
      <c r="O180" s="229"/>
      <c r="P180" s="229"/>
      <c r="Q180" s="229"/>
      <c r="R180" s="229"/>
      <c r="S180" s="229"/>
      <c r="T180" s="229"/>
    </row>
    <row r="181" spans="2:20" ht="15.75" hidden="1" x14ac:dyDescent="0.25">
      <c r="B181" s="228"/>
      <c r="C181" s="229"/>
      <c r="D181" s="229"/>
      <c r="E181" s="229"/>
      <c r="F181" s="229"/>
      <c r="G181" s="229"/>
      <c r="H181" s="229"/>
      <c r="I181" s="229"/>
      <c r="J181" s="229"/>
      <c r="K181" s="229"/>
      <c r="L181" s="229"/>
      <c r="M181" s="229"/>
      <c r="N181" s="229"/>
      <c r="O181" s="229"/>
      <c r="P181" s="229"/>
      <c r="Q181" s="229"/>
      <c r="R181" s="229"/>
      <c r="S181" s="229"/>
      <c r="T181" s="229"/>
    </row>
    <row r="182" spans="2:20" ht="15.75" hidden="1" x14ac:dyDescent="0.25">
      <c r="B182" s="228"/>
      <c r="C182" s="229"/>
      <c r="D182" s="229"/>
      <c r="E182" s="229"/>
      <c r="F182" s="229"/>
      <c r="G182" s="229"/>
      <c r="H182" s="229"/>
      <c r="I182" s="229"/>
      <c r="J182" s="229"/>
      <c r="K182" s="229"/>
      <c r="L182" s="229"/>
      <c r="M182" s="229"/>
      <c r="N182" s="229"/>
      <c r="O182" s="229"/>
      <c r="P182" s="229"/>
      <c r="Q182" s="229"/>
      <c r="R182" s="229"/>
      <c r="S182" s="229"/>
      <c r="T182" s="229"/>
    </row>
    <row r="183" spans="2:20" ht="15.75" hidden="1" x14ac:dyDescent="0.25">
      <c r="B183" s="228"/>
      <c r="C183" s="229"/>
      <c r="D183" s="229"/>
      <c r="E183" s="229"/>
      <c r="F183" s="229"/>
      <c r="G183" s="229"/>
      <c r="H183" s="229"/>
      <c r="I183" s="229"/>
      <c r="J183" s="229"/>
      <c r="K183" s="229"/>
      <c r="L183" s="229"/>
      <c r="M183" s="229"/>
      <c r="N183" s="229"/>
      <c r="O183" s="229"/>
      <c r="P183" s="229"/>
      <c r="Q183" s="229"/>
      <c r="R183" s="229"/>
      <c r="S183" s="229"/>
      <c r="T183" s="229"/>
    </row>
    <row r="184" spans="2:20" ht="15.75" hidden="1" x14ac:dyDescent="0.25">
      <c r="B184" s="228"/>
      <c r="C184" s="229"/>
      <c r="D184" s="229"/>
      <c r="E184" s="229"/>
      <c r="F184" s="229"/>
      <c r="G184" s="229"/>
      <c r="H184" s="229"/>
      <c r="I184" s="229"/>
      <c r="J184" s="229"/>
      <c r="K184" s="229"/>
      <c r="L184" s="229"/>
      <c r="M184" s="229"/>
      <c r="N184" s="229"/>
      <c r="O184" s="229"/>
      <c r="P184" s="229"/>
      <c r="Q184" s="229"/>
      <c r="R184" s="229"/>
      <c r="S184" s="229"/>
      <c r="T184" s="229"/>
    </row>
    <row r="185" spans="2:20" ht="15.75" hidden="1" x14ac:dyDescent="0.25">
      <c r="B185" s="228"/>
      <c r="C185" s="229"/>
      <c r="D185" s="229"/>
      <c r="E185" s="229"/>
      <c r="F185" s="229"/>
      <c r="G185" s="229"/>
      <c r="H185" s="229"/>
      <c r="I185" s="229"/>
      <c r="J185" s="229"/>
      <c r="K185" s="229"/>
      <c r="L185" s="229"/>
      <c r="M185" s="229"/>
      <c r="N185" s="229"/>
      <c r="O185" s="229"/>
      <c r="P185" s="229"/>
      <c r="Q185" s="229"/>
      <c r="R185" s="229"/>
      <c r="S185" s="229"/>
      <c r="T185" s="229"/>
    </row>
    <row r="186" spans="2:20" ht="15.75" hidden="1" x14ac:dyDescent="0.25">
      <c r="B186" s="228"/>
      <c r="C186" s="229"/>
      <c r="D186" s="229"/>
      <c r="E186" s="229"/>
      <c r="F186" s="229"/>
      <c r="G186" s="229"/>
      <c r="H186" s="229"/>
      <c r="I186" s="229"/>
      <c r="J186" s="229"/>
      <c r="K186" s="229"/>
      <c r="L186" s="229"/>
      <c r="M186" s="229"/>
      <c r="N186" s="229"/>
      <c r="O186" s="229"/>
      <c r="P186" s="229"/>
      <c r="Q186" s="229"/>
      <c r="R186" s="229"/>
      <c r="S186" s="229"/>
      <c r="T186" s="229"/>
    </row>
    <row r="187" spans="2:20" ht="15.75" hidden="1" x14ac:dyDescent="0.25">
      <c r="B187" s="228"/>
      <c r="C187" s="229"/>
      <c r="D187" s="229"/>
      <c r="E187" s="229"/>
      <c r="F187" s="229"/>
      <c r="G187" s="229"/>
      <c r="H187" s="229"/>
      <c r="I187" s="229"/>
      <c r="J187" s="229"/>
      <c r="K187" s="229"/>
      <c r="L187" s="229"/>
      <c r="M187" s="229"/>
      <c r="N187" s="229"/>
      <c r="O187" s="229"/>
      <c r="P187" s="229"/>
      <c r="Q187" s="229"/>
      <c r="R187" s="229"/>
      <c r="S187" s="229"/>
      <c r="T187" s="229"/>
    </row>
    <row r="188" spans="2:20" ht="15.75" hidden="1" x14ac:dyDescent="0.25">
      <c r="B188" s="228"/>
      <c r="C188" s="229"/>
      <c r="D188" s="229"/>
      <c r="E188" s="229"/>
      <c r="F188" s="229"/>
      <c r="G188" s="229"/>
      <c r="H188" s="229"/>
      <c r="I188" s="229"/>
      <c r="J188" s="229"/>
      <c r="K188" s="229"/>
      <c r="L188" s="229"/>
      <c r="M188" s="229"/>
      <c r="N188" s="229"/>
      <c r="O188" s="229"/>
      <c r="P188" s="229"/>
      <c r="Q188" s="229"/>
      <c r="R188" s="229"/>
      <c r="S188" s="229"/>
      <c r="T188" s="229"/>
    </row>
    <row r="189" spans="2:20" ht="15.75" hidden="1" x14ac:dyDescent="0.25">
      <c r="B189" s="228"/>
      <c r="C189" s="229"/>
      <c r="D189" s="229"/>
      <c r="E189" s="229"/>
      <c r="F189" s="229"/>
      <c r="G189" s="229"/>
      <c r="H189" s="229"/>
      <c r="I189" s="229"/>
      <c r="J189" s="229"/>
      <c r="K189" s="229"/>
      <c r="L189" s="229"/>
      <c r="M189" s="229"/>
      <c r="N189" s="229"/>
      <c r="O189" s="229"/>
      <c r="P189" s="229"/>
      <c r="Q189" s="229"/>
      <c r="R189" s="229"/>
      <c r="S189" s="229"/>
      <c r="T189" s="229"/>
    </row>
    <row r="190" spans="2:20" ht="15.75" hidden="1" x14ac:dyDescent="0.25">
      <c r="B190" s="228"/>
      <c r="C190" s="229"/>
      <c r="D190" s="229"/>
      <c r="E190" s="229"/>
      <c r="F190" s="229"/>
      <c r="G190" s="229"/>
      <c r="H190" s="229"/>
      <c r="I190" s="229"/>
      <c r="J190" s="229"/>
      <c r="K190" s="229"/>
      <c r="L190" s="229"/>
      <c r="M190" s="229"/>
      <c r="N190" s="229"/>
      <c r="O190" s="229"/>
      <c r="P190" s="229"/>
      <c r="Q190" s="229"/>
      <c r="R190" s="229"/>
      <c r="S190" s="229"/>
      <c r="T190" s="229"/>
    </row>
    <row r="191" spans="2:20" ht="15.75" hidden="1" x14ac:dyDescent="0.25">
      <c r="B191" s="228"/>
      <c r="C191" s="229"/>
      <c r="D191" s="229"/>
      <c r="E191" s="229"/>
      <c r="F191" s="229"/>
      <c r="G191" s="229"/>
      <c r="H191" s="229"/>
      <c r="I191" s="229"/>
      <c r="J191" s="229"/>
      <c r="K191" s="229"/>
      <c r="L191" s="229"/>
      <c r="M191" s="229"/>
      <c r="N191" s="229"/>
      <c r="O191" s="229"/>
      <c r="P191" s="229"/>
      <c r="Q191" s="229"/>
      <c r="R191" s="229"/>
      <c r="S191" s="229"/>
      <c r="T191" s="229"/>
    </row>
    <row r="192" spans="2:20" ht="15.75" hidden="1" x14ac:dyDescent="0.25">
      <c r="B192" s="228"/>
      <c r="C192" s="229"/>
      <c r="D192" s="229"/>
      <c r="E192" s="229"/>
      <c r="F192" s="229"/>
      <c r="G192" s="229"/>
      <c r="H192" s="229"/>
      <c r="I192" s="229"/>
      <c r="J192" s="229"/>
      <c r="K192" s="229"/>
      <c r="L192" s="229"/>
      <c r="M192" s="229"/>
      <c r="N192" s="229"/>
      <c r="O192" s="229"/>
      <c r="P192" s="229"/>
      <c r="Q192" s="229"/>
      <c r="R192" s="229"/>
      <c r="S192" s="229"/>
      <c r="T192" s="229"/>
    </row>
    <row r="193" spans="2:20" ht="15.75" hidden="1" x14ac:dyDescent="0.25">
      <c r="B193" s="228"/>
      <c r="C193" s="229"/>
      <c r="D193" s="229"/>
      <c r="E193" s="229"/>
      <c r="F193" s="229"/>
      <c r="G193" s="229"/>
      <c r="H193" s="229"/>
      <c r="I193" s="229"/>
      <c r="J193" s="229"/>
      <c r="K193" s="229"/>
      <c r="L193" s="229"/>
      <c r="M193" s="229"/>
      <c r="N193" s="229"/>
      <c r="O193" s="229"/>
      <c r="P193" s="229"/>
      <c r="Q193" s="229"/>
      <c r="R193" s="229"/>
      <c r="S193" s="229"/>
      <c r="T193" s="229"/>
    </row>
    <row r="194" spans="2:20" ht="15.75" hidden="1" x14ac:dyDescent="0.25">
      <c r="B194" s="228"/>
      <c r="C194" s="229"/>
      <c r="D194" s="229"/>
      <c r="E194" s="229"/>
      <c r="F194" s="229"/>
      <c r="G194" s="229"/>
      <c r="H194" s="229"/>
      <c r="I194" s="229"/>
      <c r="J194" s="229"/>
      <c r="K194" s="229"/>
      <c r="L194" s="229"/>
      <c r="M194" s="229"/>
      <c r="N194" s="229"/>
      <c r="O194" s="229"/>
      <c r="P194" s="229"/>
      <c r="Q194" s="229"/>
      <c r="R194" s="229"/>
      <c r="S194" s="229"/>
      <c r="T194" s="229"/>
    </row>
    <row r="195" spans="2:20" ht="15.75" hidden="1" x14ac:dyDescent="0.25">
      <c r="B195" s="228"/>
      <c r="C195" s="229"/>
      <c r="D195" s="229"/>
      <c r="E195" s="229"/>
      <c r="F195" s="229"/>
      <c r="G195" s="229"/>
      <c r="H195" s="229"/>
      <c r="I195" s="229"/>
      <c r="J195" s="229"/>
      <c r="K195" s="229"/>
      <c r="L195" s="229"/>
      <c r="M195" s="229"/>
      <c r="N195" s="229"/>
      <c r="O195" s="229"/>
      <c r="P195" s="229"/>
      <c r="Q195" s="229"/>
      <c r="R195" s="229"/>
      <c r="S195" s="229"/>
      <c r="T195" s="229"/>
    </row>
    <row r="196" spans="2:20" ht="15.75" hidden="1" x14ac:dyDescent="0.25">
      <c r="B196" s="228"/>
      <c r="C196" s="229"/>
      <c r="D196" s="229"/>
      <c r="E196" s="229"/>
      <c r="F196" s="229"/>
      <c r="G196" s="229"/>
      <c r="H196" s="229"/>
      <c r="I196" s="229"/>
      <c r="J196" s="229"/>
      <c r="K196" s="229"/>
      <c r="L196" s="229"/>
      <c r="M196" s="229"/>
      <c r="N196" s="229"/>
      <c r="O196" s="229"/>
      <c r="P196" s="229"/>
      <c r="Q196" s="229"/>
      <c r="R196" s="229"/>
      <c r="S196" s="229"/>
      <c r="T196" s="229"/>
    </row>
    <row r="197" spans="2:20" ht="15.75" hidden="1" x14ac:dyDescent="0.25">
      <c r="B197" s="228"/>
      <c r="C197" s="229"/>
      <c r="D197" s="229"/>
      <c r="E197" s="229"/>
      <c r="F197" s="229"/>
      <c r="G197" s="229"/>
      <c r="H197" s="229"/>
      <c r="I197" s="229"/>
      <c r="J197" s="229"/>
      <c r="K197" s="229"/>
      <c r="L197" s="229"/>
      <c r="M197" s="229"/>
      <c r="N197" s="229"/>
      <c r="O197" s="229"/>
      <c r="P197" s="229"/>
      <c r="Q197" s="229"/>
      <c r="R197" s="229"/>
      <c r="S197" s="229"/>
      <c r="T197" s="229"/>
    </row>
    <row r="198" spans="2:20" ht="15.75" hidden="1" x14ac:dyDescent="0.25">
      <c r="B198" s="228"/>
      <c r="C198" s="229"/>
      <c r="D198" s="229"/>
      <c r="E198" s="229"/>
      <c r="F198" s="229"/>
      <c r="G198" s="229"/>
      <c r="H198" s="229"/>
      <c r="I198" s="229"/>
      <c r="J198" s="229"/>
      <c r="K198" s="229"/>
      <c r="L198" s="229"/>
      <c r="M198" s="229"/>
      <c r="N198" s="229"/>
      <c r="O198" s="229"/>
      <c r="P198" s="229"/>
      <c r="Q198" s="229"/>
      <c r="R198" s="229"/>
      <c r="S198" s="229"/>
      <c r="T198" s="229"/>
    </row>
    <row r="199" spans="2:20" ht="15.75" hidden="1" x14ac:dyDescent="0.25">
      <c r="B199" s="228"/>
      <c r="C199" s="229"/>
      <c r="D199" s="229"/>
      <c r="E199" s="229"/>
      <c r="F199" s="229"/>
      <c r="G199" s="229"/>
      <c r="H199" s="229"/>
      <c r="I199" s="229"/>
      <c r="J199" s="229"/>
      <c r="K199" s="229"/>
      <c r="L199" s="229"/>
      <c r="M199" s="229"/>
      <c r="N199" s="229"/>
      <c r="O199" s="229"/>
      <c r="P199" s="229"/>
      <c r="Q199" s="229"/>
      <c r="R199" s="229"/>
      <c r="S199" s="229"/>
      <c r="T199" s="229"/>
    </row>
    <row r="200" spans="2:20" ht="15.75" hidden="1" x14ac:dyDescent="0.25">
      <c r="B200" s="228"/>
      <c r="C200" s="229"/>
      <c r="D200" s="229"/>
      <c r="E200" s="229"/>
      <c r="F200" s="229"/>
      <c r="G200" s="229"/>
      <c r="H200" s="229"/>
      <c r="I200" s="229"/>
      <c r="J200" s="229"/>
      <c r="K200" s="229"/>
      <c r="L200" s="229"/>
      <c r="M200" s="229"/>
      <c r="N200" s="229"/>
      <c r="O200" s="229"/>
      <c r="P200" s="229"/>
      <c r="Q200" s="229"/>
      <c r="R200" s="229"/>
      <c r="S200" s="229"/>
      <c r="T200" s="229"/>
    </row>
    <row r="201" spans="2:20" ht="15.75" hidden="1" x14ac:dyDescent="0.25">
      <c r="B201" s="228"/>
      <c r="C201" s="229"/>
      <c r="D201" s="229"/>
      <c r="E201" s="229"/>
      <c r="F201" s="229"/>
      <c r="G201" s="229"/>
      <c r="H201" s="229"/>
      <c r="I201" s="229"/>
      <c r="J201" s="229"/>
      <c r="K201" s="229"/>
      <c r="L201" s="229"/>
      <c r="M201" s="229"/>
      <c r="N201" s="229"/>
      <c r="O201" s="229"/>
      <c r="P201" s="229"/>
      <c r="Q201" s="229"/>
      <c r="R201" s="229"/>
      <c r="S201" s="229"/>
      <c r="T201" s="229"/>
    </row>
    <row r="202" spans="2:20" ht="15.75" hidden="1" x14ac:dyDescent="0.25">
      <c r="B202" s="228"/>
      <c r="C202" s="229"/>
      <c r="D202" s="229"/>
      <c r="E202" s="229"/>
      <c r="F202" s="229"/>
      <c r="G202" s="229"/>
      <c r="H202" s="229"/>
      <c r="I202" s="229"/>
      <c r="J202" s="229"/>
      <c r="K202" s="229"/>
      <c r="L202" s="229"/>
      <c r="M202" s="229"/>
      <c r="N202" s="229"/>
      <c r="O202" s="229"/>
      <c r="P202" s="229"/>
      <c r="Q202" s="229"/>
      <c r="R202" s="229"/>
      <c r="S202" s="229"/>
      <c r="T202" s="229"/>
    </row>
    <row r="203" spans="2:20" ht="15.75" hidden="1" x14ac:dyDescent="0.25">
      <c r="B203" s="228"/>
      <c r="C203" s="229"/>
      <c r="D203" s="229"/>
      <c r="E203" s="229"/>
      <c r="F203" s="229"/>
      <c r="G203" s="229"/>
      <c r="H203" s="229"/>
      <c r="I203" s="229"/>
      <c r="J203" s="229"/>
      <c r="K203" s="229"/>
      <c r="L203" s="229"/>
      <c r="M203" s="229"/>
      <c r="N203" s="229"/>
      <c r="O203" s="229"/>
      <c r="P203" s="229"/>
      <c r="Q203" s="229"/>
      <c r="R203" s="229"/>
      <c r="S203" s="229"/>
      <c r="T203" s="229"/>
    </row>
    <row r="204" spans="2:20" ht="15.75" hidden="1" x14ac:dyDescent="0.25">
      <c r="B204" s="228"/>
      <c r="C204" s="229"/>
      <c r="D204" s="229"/>
      <c r="E204" s="229"/>
      <c r="F204" s="229"/>
      <c r="G204" s="229"/>
      <c r="H204" s="229"/>
      <c r="I204" s="229"/>
      <c r="J204" s="229"/>
      <c r="K204" s="229"/>
      <c r="L204" s="229"/>
      <c r="M204" s="229"/>
      <c r="N204" s="229"/>
      <c r="O204" s="229"/>
      <c r="P204" s="229"/>
      <c r="Q204" s="229"/>
      <c r="R204" s="229"/>
      <c r="S204" s="229"/>
      <c r="T204" s="229"/>
    </row>
    <row r="205" spans="2:20" ht="15.75" hidden="1" x14ac:dyDescent="0.25">
      <c r="B205" s="228"/>
      <c r="C205" s="229"/>
      <c r="D205" s="229"/>
      <c r="E205" s="229"/>
      <c r="F205" s="229"/>
      <c r="G205" s="229"/>
      <c r="H205" s="229"/>
      <c r="I205" s="229"/>
      <c r="J205" s="229"/>
      <c r="K205" s="229"/>
      <c r="L205" s="229"/>
      <c r="M205" s="229"/>
      <c r="N205" s="229"/>
      <c r="O205" s="229"/>
      <c r="P205" s="229"/>
      <c r="Q205" s="229"/>
      <c r="R205" s="229"/>
      <c r="S205" s="229"/>
      <c r="T205" s="229"/>
    </row>
    <row r="206" spans="2:20" ht="15.75" hidden="1" x14ac:dyDescent="0.25">
      <c r="B206" s="228"/>
      <c r="C206" s="229"/>
      <c r="D206" s="229"/>
      <c r="E206" s="229"/>
      <c r="F206" s="229"/>
      <c r="G206" s="229"/>
      <c r="H206" s="229"/>
      <c r="I206" s="229"/>
      <c r="J206" s="229"/>
      <c r="K206" s="229"/>
      <c r="L206" s="229"/>
      <c r="M206" s="229"/>
      <c r="N206" s="229"/>
      <c r="O206" s="229"/>
      <c r="P206" s="229"/>
      <c r="Q206" s="229"/>
      <c r="R206" s="229"/>
      <c r="S206" s="229"/>
      <c r="T206" s="229"/>
    </row>
    <row r="207" spans="2:20" ht="15.75" hidden="1" x14ac:dyDescent="0.25">
      <c r="B207" s="228"/>
      <c r="C207" s="229"/>
      <c r="D207" s="229"/>
      <c r="E207" s="229"/>
      <c r="F207" s="229"/>
      <c r="G207" s="229"/>
      <c r="H207" s="229"/>
      <c r="I207" s="229"/>
      <c r="J207" s="229"/>
      <c r="K207" s="229"/>
      <c r="L207" s="229"/>
      <c r="M207" s="229"/>
      <c r="N207" s="229"/>
      <c r="O207" s="229"/>
      <c r="P207" s="229"/>
      <c r="Q207" s="229"/>
      <c r="R207" s="229"/>
      <c r="S207" s="229"/>
      <c r="T207" s="229"/>
    </row>
    <row r="208" spans="2:20" ht="15.75" hidden="1" x14ac:dyDescent="0.25">
      <c r="B208" s="228"/>
      <c r="C208" s="229"/>
      <c r="D208" s="229"/>
      <c r="E208" s="229"/>
      <c r="F208" s="229"/>
      <c r="G208" s="229"/>
      <c r="H208" s="229"/>
      <c r="I208" s="229"/>
      <c r="J208" s="229"/>
      <c r="K208" s="229"/>
      <c r="L208" s="229"/>
      <c r="M208" s="229"/>
      <c r="N208" s="229"/>
      <c r="O208" s="229"/>
      <c r="P208" s="229"/>
      <c r="Q208" s="229"/>
      <c r="R208" s="229"/>
      <c r="S208" s="229"/>
      <c r="T208" s="229"/>
    </row>
    <row r="209" spans="2:20" ht="15.75" hidden="1" x14ac:dyDescent="0.25">
      <c r="B209" s="228"/>
      <c r="C209" s="229"/>
      <c r="D209" s="229"/>
      <c r="E209" s="229"/>
      <c r="F209" s="229"/>
      <c r="G209" s="229"/>
      <c r="H209" s="229"/>
      <c r="I209" s="229"/>
      <c r="J209" s="229"/>
      <c r="K209" s="229"/>
      <c r="L209" s="229"/>
      <c r="M209" s="229"/>
      <c r="N209" s="229"/>
      <c r="O209" s="229"/>
      <c r="P209" s="229"/>
      <c r="Q209" s="229"/>
      <c r="R209" s="229"/>
      <c r="S209" s="229"/>
      <c r="T209" s="229"/>
    </row>
    <row r="210" spans="2:20" ht="15.75" hidden="1" x14ac:dyDescent="0.25">
      <c r="B210" s="228"/>
      <c r="C210" s="229"/>
      <c r="D210" s="229"/>
      <c r="E210" s="229"/>
      <c r="F210" s="229"/>
      <c r="G210" s="229"/>
      <c r="H210" s="229"/>
      <c r="I210" s="229"/>
      <c r="J210" s="229"/>
      <c r="K210" s="229"/>
      <c r="L210" s="229"/>
      <c r="M210" s="229"/>
      <c r="N210" s="229"/>
      <c r="O210" s="229"/>
      <c r="P210" s="229"/>
      <c r="Q210" s="229"/>
      <c r="R210" s="229"/>
      <c r="S210" s="229"/>
      <c r="T210" s="229"/>
    </row>
    <row r="211" spans="2:20" ht="15.75" hidden="1" x14ac:dyDescent="0.25">
      <c r="B211" s="228"/>
      <c r="C211" s="229"/>
      <c r="D211" s="229"/>
      <c r="E211" s="229"/>
      <c r="F211" s="229"/>
      <c r="G211" s="229"/>
      <c r="H211" s="229"/>
      <c r="I211" s="229"/>
      <c r="J211" s="229"/>
      <c r="K211" s="229"/>
      <c r="L211" s="229"/>
      <c r="M211" s="229"/>
      <c r="N211" s="229"/>
      <c r="O211" s="229"/>
      <c r="P211" s="229"/>
      <c r="Q211" s="229"/>
      <c r="R211" s="229"/>
      <c r="S211" s="229"/>
      <c r="T211" s="229"/>
    </row>
    <row r="212" spans="2:20" ht="15.75" hidden="1" x14ac:dyDescent="0.25">
      <c r="B212" s="228"/>
      <c r="C212" s="229"/>
      <c r="D212" s="229"/>
      <c r="E212" s="229"/>
      <c r="F212" s="229"/>
      <c r="G212" s="229"/>
      <c r="H212" s="229"/>
      <c r="I212" s="229"/>
      <c r="J212" s="229"/>
      <c r="K212" s="229"/>
      <c r="L212" s="229"/>
      <c r="M212" s="229"/>
      <c r="N212" s="229"/>
      <c r="O212" s="229"/>
      <c r="P212" s="229"/>
      <c r="Q212" s="229"/>
      <c r="R212" s="229"/>
      <c r="S212" s="229"/>
      <c r="T212" s="229"/>
    </row>
    <row r="213" spans="2:20" ht="15.75" hidden="1" x14ac:dyDescent="0.25">
      <c r="B213" s="228"/>
      <c r="C213" s="229"/>
      <c r="D213" s="229"/>
      <c r="E213" s="229"/>
      <c r="F213" s="229"/>
      <c r="G213" s="229"/>
      <c r="H213" s="229"/>
      <c r="I213" s="229"/>
      <c r="J213" s="229"/>
      <c r="K213" s="229"/>
      <c r="L213" s="229"/>
      <c r="M213" s="229"/>
      <c r="N213" s="229"/>
      <c r="O213" s="229"/>
      <c r="P213" s="229"/>
      <c r="Q213" s="229"/>
      <c r="R213" s="229"/>
      <c r="S213" s="229"/>
      <c r="T213" s="229"/>
    </row>
    <row r="214" spans="2:20" ht="15.75" hidden="1" x14ac:dyDescent="0.25">
      <c r="B214" s="228"/>
      <c r="C214" s="229"/>
      <c r="D214" s="229"/>
      <c r="E214" s="229"/>
      <c r="F214" s="229"/>
      <c r="G214" s="229"/>
      <c r="H214" s="229"/>
      <c r="I214" s="229"/>
      <c r="J214" s="229"/>
      <c r="K214" s="229"/>
      <c r="L214" s="229"/>
      <c r="M214" s="229"/>
      <c r="N214" s="229"/>
      <c r="O214" s="229"/>
      <c r="P214" s="229"/>
      <c r="Q214" s="229"/>
      <c r="R214" s="229"/>
      <c r="S214" s="229"/>
      <c r="T214" s="229"/>
    </row>
    <row r="215" spans="2:20" ht="15.75" hidden="1" x14ac:dyDescent="0.25">
      <c r="B215" s="228"/>
      <c r="C215" s="229"/>
      <c r="D215" s="229"/>
      <c r="E215" s="229"/>
      <c r="F215" s="229"/>
      <c r="G215" s="229"/>
      <c r="H215" s="229"/>
      <c r="I215" s="229"/>
      <c r="J215" s="229"/>
      <c r="K215" s="229"/>
      <c r="L215" s="229"/>
      <c r="M215" s="229"/>
      <c r="N215" s="229"/>
      <c r="O215" s="229"/>
      <c r="P215" s="229"/>
      <c r="Q215" s="229"/>
      <c r="R215" s="229"/>
      <c r="S215" s="229"/>
      <c r="T215" s="229"/>
    </row>
    <row r="216" spans="2:20" ht="15.75" hidden="1" x14ac:dyDescent="0.25">
      <c r="B216" s="228"/>
      <c r="C216" s="229"/>
      <c r="D216" s="229"/>
      <c r="E216" s="229"/>
      <c r="F216" s="229"/>
      <c r="G216" s="229"/>
      <c r="H216" s="229"/>
      <c r="I216" s="229"/>
      <c r="J216" s="229"/>
      <c r="K216" s="229"/>
      <c r="L216" s="229"/>
      <c r="M216" s="229"/>
      <c r="N216" s="229"/>
      <c r="O216" s="229"/>
      <c r="P216" s="229"/>
      <c r="Q216" s="229"/>
      <c r="R216" s="229"/>
      <c r="S216" s="229"/>
      <c r="T216" s="229"/>
    </row>
    <row r="217" spans="2:20" ht="15.75" hidden="1" x14ac:dyDescent="0.25">
      <c r="B217" s="228"/>
      <c r="C217" s="229"/>
      <c r="D217" s="229"/>
      <c r="E217" s="229"/>
      <c r="F217" s="229"/>
      <c r="G217" s="229"/>
      <c r="H217" s="229"/>
      <c r="I217" s="229"/>
      <c r="J217" s="229"/>
      <c r="K217" s="229"/>
      <c r="L217" s="229"/>
      <c r="M217" s="229"/>
      <c r="N217" s="229"/>
      <c r="O217" s="229"/>
      <c r="P217" s="229"/>
      <c r="Q217" s="229"/>
      <c r="R217" s="229"/>
      <c r="S217" s="229"/>
      <c r="T217" s="229"/>
    </row>
    <row r="218" spans="2:20" ht="15.75" hidden="1" x14ac:dyDescent="0.25">
      <c r="B218" s="228"/>
      <c r="C218" s="229"/>
      <c r="D218" s="229"/>
      <c r="E218" s="229"/>
      <c r="F218" s="229"/>
      <c r="G218" s="229"/>
      <c r="H218" s="229"/>
      <c r="I218" s="229"/>
      <c r="J218" s="229"/>
      <c r="K218" s="229"/>
      <c r="L218" s="229"/>
      <c r="M218" s="229"/>
      <c r="N218" s="229"/>
      <c r="O218" s="229"/>
      <c r="P218" s="229"/>
      <c r="Q218" s="229"/>
      <c r="R218" s="229"/>
      <c r="S218" s="229"/>
      <c r="T218" s="229"/>
    </row>
    <row r="219" spans="2:20" hidden="1" x14ac:dyDescent="0.25"/>
    <row r="220" spans="2:20" hidden="1" x14ac:dyDescent="0.25"/>
    <row r="221" spans="2:20" hidden="1" x14ac:dyDescent="0.25"/>
    <row r="222" spans="2:20" hidden="1" x14ac:dyDescent="0.25"/>
    <row r="223" spans="2:20" hidden="1" x14ac:dyDescent="0.25"/>
    <row r="224" spans="2:20"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sheetData>
  <sheetProtection algorithmName="SHA-512" hashValue="p/UgM90gJMq6Ez8I9ESETjyc0wtd9kTsFBu2xgrkB6cAldI1imBo2LBH52ou00WftwfsxZgIcQuGYyboj35sTQ==" saltValue="SgP0Z2bKHJGfWT4zkAPhaw==" spinCount="100000" sheet="1" objects="1" scenarios="1"/>
  <mergeCells count="110">
    <mergeCell ref="A1:P1"/>
    <mergeCell ref="B17:C17"/>
    <mergeCell ref="F17:G17"/>
    <mergeCell ref="B20:O20"/>
    <mergeCell ref="B50:F50"/>
    <mergeCell ref="G50:O50"/>
    <mergeCell ref="A2:P3"/>
    <mergeCell ref="B29:C29"/>
    <mergeCell ref="F29:G29"/>
    <mergeCell ref="G48:O48"/>
    <mergeCell ref="C85:F85"/>
    <mergeCell ref="C86:F86"/>
    <mergeCell ref="C87:F87"/>
    <mergeCell ref="G85:O85"/>
    <mergeCell ref="G86:O86"/>
    <mergeCell ref="G87:O87"/>
    <mergeCell ref="I25:L25"/>
    <mergeCell ref="B32:O32"/>
    <mergeCell ref="B7:D7"/>
    <mergeCell ref="B8:D8"/>
    <mergeCell ref="B9:D9"/>
    <mergeCell ref="E7:H7"/>
    <mergeCell ref="E8:H8"/>
    <mergeCell ref="E9:H9"/>
    <mergeCell ref="C57:F57"/>
    <mergeCell ref="C58:F58"/>
    <mergeCell ref="C62:F62"/>
    <mergeCell ref="C68:F68"/>
    <mergeCell ref="C65:F65"/>
    <mergeCell ref="C82:F82"/>
    <mergeCell ref="C78:F78"/>
    <mergeCell ref="C64:F64"/>
    <mergeCell ref="C79:F79"/>
    <mergeCell ref="C71:F71"/>
    <mergeCell ref="C72:F72"/>
    <mergeCell ref="C63:F63"/>
    <mergeCell ref="C69:F69"/>
    <mergeCell ref="C66:F66"/>
    <mergeCell ref="C67:F67"/>
    <mergeCell ref="C70:F70"/>
    <mergeCell ref="A5:E5"/>
    <mergeCell ref="A11:E11"/>
    <mergeCell ref="B25:F25"/>
    <mergeCell ref="B52:F52"/>
    <mergeCell ref="B49:F49"/>
    <mergeCell ref="B45:F45"/>
    <mergeCell ref="B42:F42"/>
    <mergeCell ref="B43:F43"/>
    <mergeCell ref="B44:F44"/>
    <mergeCell ref="B46:F46"/>
    <mergeCell ref="B47:F47"/>
    <mergeCell ref="B48:F48"/>
    <mergeCell ref="B53:F53"/>
    <mergeCell ref="C59:F59"/>
    <mergeCell ref="C60:F60"/>
    <mergeCell ref="C61:F61"/>
    <mergeCell ref="B39:O39"/>
    <mergeCell ref="G47:O47"/>
    <mergeCell ref="G69:O69"/>
    <mergeCell ref="G63:O63"/>
    <mergeCell ref="G64:O64"/>
    <mergeCell ref="G60:O60"/>
    <mergeCell ref="G61:O61"/>
    <mergeCell ref="G68:O68"/>
    <mergeCell ref="G62:O62"/>
    <mergeCell ref="G65:O65"/>
    <mergeCell ref="G66:O66"/>
    <mergeCell ref="G67:O67"/>
    <mergeCell ref="G75:O75"/>
    <mergeCell ref="G76:O76"/>
    <mergeCell ref="G73:O73"/>
    <mergeCell ref="G74:O74"/>
    <mergeCell ref="G70:O70"/>
    <mergeCell ref="G72:O72"/>
    <mergeCell ref="G71:O71"/>
    <mergeCell ref="C84:F84"/>
    <mergeCell ref="C81:F81"/>
    <mergeCell ref="C73:F73"/>
    <mergeCell ref="C74:F74"/>
    <mergeCell ref="C75:F75"/>
    <mergeCell ref="C80:F80"/>
    <mergeCell ref="C83:F83"/>
    <mergeCell ref="G84:O84"/>
    <mergeCell ref="G77:O77"/>
    <mergeCell ref="G78:O78"/>
    <mergeCell ref="G79:O79"/>
    <mergeCell ref="G81:O81"/>
    <mergeCell ref="G82:O82"/>
    <mergeCell ref="G83:O83"/>
    <mergeCell ref="G80:O80"/>
    <mergeCell ref="C76:F76"/>
    <mergeCell ref="C77:F77"/>
    <mergeCell ref="G51:O51"/>
    <mergeCell ref="C56:F56"/>
    <mergeCell ref="B51:F51"/>
    <mergeCell ref="C55:F55"/>
    <mergeCell ref="G55:O55"/>
    <mergeCell ref="B40:O40"/>
    <mergeCell ref="G56:O56"/>
    <mergeCell ref="G59:O59"/>
    <mergeCell ref="G57:O57"/>
    <mergeCell ref="G58:O58"/>
    <mergeCell ref="G53:O53"/>
    <mergeCell ref="G42:O42"/>
    <mergeCell ref="G46:O46"/>
    <mergeCell ref="G43:O43"/>
    <mergeCell ref="G44:O44"/>
    <mergeCell ref="G45:O45"/>
    <mergeCell ref="G49:O49"/>
    <mergeCell ref="G52:O52"/>
  </mergeCells>
  <hyperlinks>
    <hyperlink ref="B43" location="'E-1 Passive Design'!A1" tooltip="E-1 Passive design" display="E-1 Passive design"/>
    <hyperlink ref="B43:F43" location="Introduction!A1" tooltip="Introduction" display="Introduction"/>
    <hyperlink ref="B44" location="'E-1 Passive Design'!A1" tooltip="E-1 Passive design" display="E-1 Passive design"/>
    <hyperlink ref="B44:F44" location="Instructions!A1" tooltip="Instructions" display="Instructions"/>
    <hyperlink ref="B46" location="'E-1 Passive Design'!A1" tooltip="E-1 Passive design" display="E-1 Passive design"/>
    <hyperlink ref="B46:F46" location="'LOTUS Homes Scorecard'!A1" tooltip="Scorecard" display="LOTUS Homes Scorecard"/>
    <hyperlink ref="B47" location="'E-1 Passive Design'!A1" tooltip="E-1 Passive design" display="E-1 Passive design"/>
    <hyperlink ref="B47:F47" location="'Graphical Results'!A1" tooltip="Graphical Results" display="Graphical Results"/>
    <hyperlink ref="B48" location="'E-1 Passive Design'!A1" tooltip="E-1 Passive design" display="E-1 Passive design"/>
    <hyperlink ref="B48:F48" location="'Project information'!A1" tooltip="Project Information" display="Project Information"/>
    <hyperlink ref="B53:F53" location="Resources!A1" tooltip="Resources" display="Resources"/>
    <hyperlink ref="C56" location="'E-1 Passive Design'!A1" tooltip="E-1 Passive design" display="E-1 Passive design"/>
    <hyperlink ref="C60:D60" location="'W-1 Water Efficient Fixtures'!A1" tooltip="W-1 Water Efficient Fixtures" display="W-1 Water Efficient Fixtures"/>
    <hyperlink ref="E60:F60" location="'W-1 Water Efficient Fixtures'!A1" tooltip="W-1 Water Efficient Fixtures" display="W-1 Water Efficient Fixtures"/>
    <hyperlink ref="C62:D62" location="'M-1 Building Structure'!A1" tooltip="M-1 Building Structure" display="M-1 Building Structure"/>
    <hyperlink ref="E62:F62" location="'M-1 Building Structure'!A1" tooltip="M-1 Building Structure" display="M-1 Building Structure"/>
    <hyperlink ref="C65" location="'H-1 Fresh Air Supply'!A1" tooltip="H-1 Fresh Air Supply" display="H-1 Fresh Air Supply"/>
    <hyperlink ref="E65" location="'H-1 Fresh Air Supply'!A1" tooltip="H-1 Fresh Air Supply" display="H-1 Fresh Air Supply"/>
    <hyperlink ref="C66" location="'H-2 Ventilation in wet areas'!A1" tooltip="H-2 Ventilation in Wet Areas" display="H-2 Ventilation in Wet Areas"/>
    <hyperlink ref="E66" location="'H-2 Ventilation in wet areas'!A1" tooltip="H-2 Ventilation in Wet Areas" display="H-2 Ventilation in Wet Areas"/>
    <hyperlink ref="C67" location="'H-3 Hazardous Materials'!A1" tooltip="H-3 Hazardous Materials" display="H-3 Hazardous Materials"/>
    <hyperlink ref="E67" location="'H-3 Hazardous Materials'!A1" tooltip="H-3 Hazardous Materials" display="H-3 Hazardous Materials"/>
    <hyperlink ref="C68" location="'H-4 Daylighting'!A1" tooltip="H-4 Daylighting" display="H-4 Daylighting"/>
    <hyperlink ref="E68" location="'H-4 Daylighting'!A1" tooltip="H-4 Daylighting" display="H-4 Daylighting"/>
    <hyperlink ref="C80:D80" location="'LE-4 Heat Island Effect'!A1" tooltip="LE-4 Heat Island Effect" display="LE-4 Heat Island Effect"/>
    <hyperlink ref="E80:F80" location="'LE-4 Heat Island Effect'!A1" tooltip="LE-4 Heat Island Effect" display="LE-4 Heat Island Effect"/>
    <hyperlink ref="C77:D77" location="'LE-1 Site Selection'!A1" tooltip="LE-1 Site Selection" display="LE-1 Site Selection"/>
    <hyperlink ref="C81" location="'CM-1 Design Stage'!A1" tooltip="CM-1 Design Stage" display="CM-1 Design Stage"/>
    <hyperlink ref="E81" location="'CM-1 Design Stage'!A1" tooltip="CM-1 Design Stage" display="CM-1 Design Stage"/>
    <hyperlink ref="C82" location="'CM-2 Construction Management'!A1" tooltip="CM-2 Construction Management" display="CM-2 Construction Management"/>
    <hyperlink ref="E82" location="'CM-2 Construction Management'!A1" tooltip="CM-2 Construction Management" display="CM-2 Construction Management"/>
    <hyperlink ref="C83" location="'CM-3 Operational Management'!A1" tooltip="CM-3 Operational Management" display="CM-3 Operational Management"/>
    <hyperlink ref="E83" location="'CM-3 Operational Management'!A1" tooltip="CM-3 Operational Management" display="CM-3 Operational Management"/>
    <hyperlink ref="C85:D85" location="'CM BPC'!A1" tooltip="Best Practice Credits" display="Best Practice Credits"/>
    <hyperlink ref="E85:F85" location="'CM BPC'!A1" tooltip="Best Practice Credits" display="Best Practice Credits"/>
    <hyperlink ref="C69" location="'H-4 Daylighting'!A1" tooltip="H-4 Daylighting" display="H-4 Daylighting"/>
    <hyperlink ref="E69" location="'H-4 Daylighting'!A1" tooltip="H-4 Daylighting" display="H-4 Daylighting"/>
    <hyperlink ref="C69:F69" location="'H-5 Interior Plants'!A1" tooltip="H-5 Interior Plants" display="Interior Plants"/>
    <hyperlink ref="C86:F86" location="'Inn-1 Exceptional Performance '!A1" tooltip="Inn-1 Exceptional Performance Enhancement" display="Exceptional Performance Enhancement"/>
    <hyperlink ref="C87:F87" location="'Inn-2 Innovative Techniques'!A1" tooltip="Inn-2 Innovative techniques/initiative" display="Innovative techniques/initiative"/>
    <hyperlink ref="C57" location="'E-4 Artificial Lighting'!A1" tooltip="E-4 Artificial Lighting" display="E-4 Artificial Lighting"/>
    <hyperlink ref="E57" location="'E-4 Artificial Lighting'!A1" tooltip="E-4 Artificial Lighting" display="E-4 Artificial Lighting"/>
    <hyperlink ref="C58" location="'E-6 Energy Efficient Appliances'!A1" tooltip="E-6 Energy Efficient Appliances" display="E-6 Energy Efficient Appliances"/>
    <hyperlink ref="E58" location="'E-6 Energy Efficient Appliances'!A1" tooltip="E-6 Energy Efficient Appliances" display="E-6 Energy Efficient Appliances"/>
    <hyperlink ref="C59" location="'E-7 Energy Monitors '!A1" tooltip="E-7 Energy Monitors " display="E-7 Energy Monitors "/>
    <hyperlink ref="E59" location="'E-7 Energy Monitors '!A1" tooltip="E-7 Energy Monitors " display="E-7 Energy Monitors "/>
    <hyperlink ref="C61:D61" location="'W-3 Drinking Water '!A1" tooltip="W-3 Drinking Water " display="W-3 Drinking Water "/>
    <hyperlink ref="E61:F61" location="'W-3 Drinking Water '!A1" tooltip="W-3 Drinking Water " display="W-3 Drinking Water "/>
    <hyperlink ref="C63:D63" location="'M-1 Building Structure'!A1" tooltip="M-1 Building Structure" display="M-1 Building Structure"/>
    <hyperlink ref="E63:F63" location="'M-1 Building Structure'!A1" tooltip="M-1 Building Structure" display="M-1 Building Structure"/>
    <hyperlink ref="C76" location="'H-4 Daylighting'!A1" tooltip="H-4 Daylighting" display="H-4 Daylighting"/>
    <hyperlink ref="C70" location="'H-4 Daylighting'!A1" tooltip="H-4 Daylighting" display="H-4 Daylighting"/>
    <hyperlink ref="C71" location="'H-4 Daylighting'!A1" tooltip="H-4 Daylighting" display="H-4 Daylighting"/>
    <hyperlink ref="C72" location="'H-4 Daylighting'!A1" tooltip="H-4 Daylighting" display="H-4 Daylighting"/>
    <hyperlink ref="C73" location="'H-4 Daylighting'!A1" tooltip="H-4 Daylighting" display="H-4 Daylighting"/>
    <hyperlink ref="E70" location="'H-4 Daylighting'!A1" tooltip="H-4 Daylighting" display="H-4 Daylighting"/>
    <hyperlink ref="E71" location="'H-4 Daylighting'!A1" tooltip="H-4 Daylighting" display="H-4 Daylighting"/>
    <hyperlink ref="E72" location="'H-4 Daylighting'!A1" tooltip="H-4 Daylighting" display="H-4 Daylighting"/>
    <hyperlink ref="E73" location="'H-4 Daylighting'!A1" tooltip="H-4 Daylighting" display="H-4 Daylighting"/>
    <hyperlink ref="C70:F70" location="'H-6 Green Cleaning'!A1" tooltip="H-6 Green Cleaning" display="Green Cleaning"/>
    <hyperlink ref="C71:F71" location="'H-7 Daylighting'!A1" tooltip="H-7 Daylighting" display="Daylighting"/>
    <hyperlink ref="C72:F72" location="'H-8 External Views'!A1" tooltip="H-8 External Views" display="External Views"/>
    <hyperlink ref="C73:F73" location="'H-9 Lighting Comfort'!A1" tooltip="H-9 Lighting Comfort" display="Lighting Comfort"/>
    <hyperlink ref="C74" location="'H-4 Daylighting'!A1" tooltip="H-4 Daylighting" display="H-4 Daylighting"/>
    <hyperlink ref="E74" location="'H-4 Daylighting'!A1" tooltip="H-4 Daylighting" display="H-4 Daylighting"/>
    <hyperlink ref="C74:F74" location="'H-10 Thermal Comfort'!A1" tooltip="H-10 Thermal Comfort" display="Thermal Comfort"/>
    <hyperlink ref="C75" location="'H-4 Daylighting'!A1" tooltip="H-4 Daylighting" display="H-4 Daylighting"/>
    <hyperlink ref="E75" location="'H-4 Daylighting'!A1" tooltip="H-4 Daylighting" display="H-4 Daylighting"/>
    <hyperlink ref="C75:F75" location="'H-11 Acoustic Comfort'!A1" tooltip="H-11 Acoustic Comfort" display="Acoustic Comfort"/>
    <hyperlink ref="C78:D78" location="'LE-1 Site Selection'!A1" tooltip="LE-1 Site Selection" display="LE-1 Site Selection"/>
    <hyperlink ref="C79:D79" location="'LE-1 Site Selection'!A1" tooltip="LE-1 Site Selection" display="LE-1 Site Selection"/>
    <hyperlink ref="C77:F77" location="'LT-1 Base building '!A1" tooltip="LE-1 Site Selection" display="Base Building Green Attributes"/>
    <hyperlink ref="C80:F80" location="'LT-4 Facilities and amenities '!A1" tooltip="LT-4 Facilities and Amenities for Occupants" display="Facilities and Amenities for Occupants"/>
    <hyperlink ref="C79:F79" location="'LT-3 Green Transportation '!A1" tooltip="LT-3 Green Transportation" display="Green Transportation"/>
    <hyperlink ref="C78:F78" location="'LT-2 Tenancy lease'!A1" tooltip="LE-1 Site Selection" display="Tenancy Lease"/>
    <hyperlink ref="C81:F81" location="'Man-1 LOTUS AP'!A1" tooltip="Man-1 LOTUS AP" display="LOTUS AP"/>
    <hyperlink ref="C84:D84" location="'CM BPC'!A1" tooltip="Best Practice Credits" display="Best Practice Credits"/>
    <hyperlink ref="E84:F84" location="'CM BPC'!A1" tooltip="Best Practice Credits" display="Best Practice Credits"/>
    <hyperlink ref="C82:F82" location="'Man-2 Construction Stage'!A1" tooltip="Man-2 Construction Stage" display="Construction Stage"/>
    <hyperlink ref="C83:F83" location="'Man-3 Commissioning'!A1" tooltip="Man-3 Commissioning" display="Commissioning"/>
    <hyperlink ref="C84:F84" location="'Man-4 Maintenance'!A1" tooltip="Best Practice Credits" display="Maintenance"/>
    <hyperlink ref="C85:F85" location="'Man-5 Green Awareness '!A1" tooltip="Man-5 Green Awareness and Behaviour" display="Green Awareness and Behaviour"/>
    <hyperlink ref="C64" location="'H-1 Fresh Air Supply'!A1" tooltip="H-1 Fresh Air Supply" display="H-1 Fresh Air Supply"/>
    <hyperlink ref="E64" location="'H-1 Fresh Air Supply'!A1" tooltip="H-1 Fresh Air Supply" display="H-1 Fresh Air Supply"/>
    <hyperlink ref="C64:F64" location="'H-PR-1 Indoor Smoking'!A1" tooltip="H-PR-1 Indoor Smoking" display="Indoor Smoking"/>
    <hyperlink ref="C65:F65" location="'H-1 Fresh Air Supply'!A1" tooltip="H-1 Fresh Air Supply" display="Fresh Air Supply"/>
    <hyperlink ref="C66:F66" location="'H-2 CO2 Monitoring'!A1" tooltip="H-2 Ventilation in Wet Areas" display="Co2 Monitoring"/>
    <hyperlink ref="C67:F67" location="'H-3 Low-VOC Emissions '!A1" tooltip="H-3 Hazardous Materials" display="Low-VOC Emissions"/>
    <hyperlink ref="C56:F56" location="'E-1 Space cooling'!A1" tooltip="E-1 Passive design" display="Space cooling"/>
    <hyperlink ref="C57:F57" location="'E-2 Artificial Lighting'!A1" tooltip="E-2 Artificial Lighting" display="Artificial Lighting"/>
    <hyperlink ref="C58:F58" location="'E-3 Energy Efficient Appliances'!A1" tooltip="E-3 Energy Efficient Appliances" display="Energy Efficient Appliances"/>
    <hyperlink ref="C59:F59" location="'E-4 Energy Monitoring'!A1" tooltip="E-4 Energy Monitoring" display="Energy Monitoring"/>
    <hyperlink ref="C63:F63" location="'M-2 Sustainable Furniture'!A1" tooltip="M-2 Sustainable Furniture Products" display="Sustainable Furniture Products"/>
    <hyperlink ref="C62:F62" location="'M-1 Sustainable Materials'!A1" tooltip="M-1 Sustainable Materials " display="Sustainable Materials "/>
    <hyperlink ref="C61:F61" location="'W-2 Drinking Water '!A1" tooltip="W-2 Drinking Water " display="Drinking Water "/>
    <hyperlink ref="C60:F60" location="'W-PR-1 &amp; W-1 Efficient Fixtures'!A1" tooltip="W-1 Water Efficient Fixtures" display="Water Efficient Fixtures"/>
    <hyperlink ref="C68:F68" location="'H-4 Removal of pollutants'!A1" tooltip="H-4 Pre-coccupancy Removal of Pollutants" display="Pre-coccupancy Removal of Pollutants"/>
    <hyperlink ref="C76:F76" location="'H-12 Post-occupancy Comfort'!A1" tooltip="H-12 Post-occupancy Comfort" display="Post-occupancy Comfort"/>
    <hyperlink ref="B51:F51" location="Energy!A1" tooltip="Categories" display="Categories"/>
    <hyperlink ref="B49" location="'E-1 Passive Design'!A1" tooltip="E-1 Passive design" display="E-1 Passive design"/>
    <hyperlink ref="B49:F49" location="'Application Form'!A1" tooltip="Application Form" display="Application Form"/>
    <hyperlink ref="B45" location="'E-1 Passive Design'!A1" tooltip="E-1 Passive design" display="E-1 Passive design"/>
    <hyperlink ref="B45:F45" location="'LOTUS Interiors Eligibility'!A1" tooltip="LOTUS Interiors Eligibility" display="Eligibility"/>
    <hyperlink ref="B51" location="'E-1 Passive Design'!A1" tooltip="E-1 Passive design" display="E-1 Passive design"/>
    <hyperlink ref="B50:F50" location="'Full Certification checklist '!A1" display="Full Certification checklist "/>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53" r:id="rId3" name="Check Box 17">
              <controlPr defaultSize="0" autoFill="0" autoLine="0" autoPict="0">
                <anchor moveWithCells="1">
                  <from>
                    <xdr:col>12</xdr:col>
                    <xdr:colOff>180975</xdr:colOff>
                    <xdr:row>24</xdr:row>
                    <xdr:rowOff>0</xdr:rowOff>
                  </from>
                  <to>
                    <xdr:col>12</xdr:col>
                    <xdr:colOff>485775</xdr:colOff>
                    <xdr:row>24</xdr:row>
                    <xdr:rowOff>219075</xdr:rowOff>
                  </to>
                </anchor>
              </controlPr>
            </control>
          </mc:Choice>
        </mc:AlternateContent>
        <mc:AlternateContent xmlns:mc="http://schemas.openxmlformats.org/markup-compatibility/2006">
          <mc:Choice Requires="x14">
            <control shapeId="167954" r:id="rId4" name="Check Box 18">
              <controlPr defaultSize="0" autoFill="0" autoLine="0" autoPict="0">
                <anchor moveWithCells="1">
                  <from>
                    <xdr:col>6</xdr:col>
                    <xdr:colOff>180975</xdr:colOff>
                    <xdr:row>24</xdr:row>
                    <xdr:rowOff>0</xdr:rowOff>
                  </from>
                  <to>
                    <xdr:col>6</xdr:col>
                    <xdr:colOff>485775</xdr:colOff>
                    <xdr:row>24</xdr:row>
                    <xdr:rowOff>219075</xdr:rowOff>
                  </to>
                </anchor>
              </controlPr>
            </control>
          </mc:Choice>
        </mc:AlternateContent>
        <mc:AlternateContent xmlns:mc="http://schemas.openxmlformats.org/markup-compatibility/2006">
          <mc:Choice Requires="x14">
            <control shapeId="167957" r:id="rId5" name="Check Box 21">
              <controlPr defaultSize="0" autoFill="0" autoLine="0" autoPict="0">
                <anchor moveWithCells="1">
                  <from>
                    <xdr:col>3</xdr:col>
                    <xdr:colOff>190500</xdr:colOff>
                    <xdr:row>15</xdr:row>
                    <xdr:rowOff>171450</xdr:rowOff>
                  </from>
                  <to>
                    <xdr:col>3</xdr:col>
                    <xdr:colOff>495300</xdr:colOff>
                    <xdr:row>17</xdr:row>
                    <xdr:rowOff>9525</xdr:rowOff>
                  </to>
                </anchor>
              </controlPr>
            </control>
          </mc:Choice>
        </mc:AlternateContent>
        <mc:AlternateContent xmlns:mc="http://schemas.openxmlformats.org/markup-compatibility/2006">
          <mc:Choice Requires="x14">
            <control shapeId="167958" r:id="rId6" name="Check Box 22">
              <controlPr defaultSize="0" autoFill="0" autoLine="0" autoPict="0">
                <anchor moveWithCells="1">
                  <from>
                    <xdr:col>7</xdr:col>
                    <xdr:colOff>190500</xdr:colOff>
                    <xdr:row>15</xdr:row>
                    <xdr:rowOff>171450</xdr:rowOff>
                  </from>
                  <to>
                    <xdr:col>7</xdr:col>
                    <xdr:colOff>495300</xdr:colOff>
                    <xdr:row>17</xdr:row>
                    <xdr:rowOff>9525</xdr:rowOff>
                  </to>
                </anchor>
              </controlPr>
            </control>
          </mc:Choice>
        </mc:AlternateContent>
        <mc:AlternateContent xmlns:mc="http://schemas.openxmlformats.org/markup-compatibility/2006">
          <mc:Choice Requires="x14">
            <control shapeId="167959" r:id="rId7" name="Check Box 23">
              <controlPr defaultSize="0" autoFill="0" autoLine="0" autoPict="0">
                <anchor moveWithCells="1">
                  <from>
                    <xdr:col>3</xdr:col>
                    <xdr:colOff>190500</xdr:colOff>
                    <xdr:row>27</xdr:row>
                    <xdr:rowOff>171450</xdr:rowOff>
                  </from>
                  <to>
                    <xdr:col>3</xdr:col>
                    <xdr:colOff>495300</xdr:colOff>
                    <xdr:row>29</xdr:row>
                    <xdr:rowOff>9525</xdr:rowOff>
                  </to>
                </anchor>
              </controlPr>
            </control>
          </mc:Choice>
        </mc:AlternateContent>
        <mc:AlternateContent xmlns:mc="http://schemas.openxmlformats.org/markup-compatibility/2006">
          <mc:Choice Requires="x14">
            <control shapeId="167960" r:id="rId8" name="Check Box 24">
              <controlPr defaultSize="0" autoFill="0" autoLine="0" autoPict="0">
                <anchor moveWithCells="1">
                  <from>
                    <xdr:col>7</xdr:col>
                    <xdr:colOff>190500</xdr:colOff>
                    <xdr:row>27</xdr:row>
                    <xdr:rowOff>171450</xdr:rowOff>
                  </from>
                  <to>
                    <xdr:col>7</xdr:col>
                    <xdr:colOff>495300</xdr:colOff>
                    <xdr:row>29</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81"/>
  <sheetViews>
    <sheetView showRowColHeaders="0" workbookViewId="0">
      <pane ySplit="3" topLeftCell="A4" activePane="bottomLeft" state="frozen"/>
      <selection pane="bottomLeft" sqref="A1:K1"/>
    </sheetView>
  </sheetViews>
  <sheetFormatPr defaultColWidth="0" defaultRowHeight="0" customHeight="1" zeroHeight="1" x14ac:dyDescent="0.25"/>
  <cols>
    <col min="1" max="1" width="4.140625" style="168" customWidth="1"/>
    <col min="2" max="2" width="34.42578125" style="168" customWidth="1"/>
    <col min="3" max="3" width="14.42578125" style="168" customWidth="1"/>
    <col min="4" max="4" width="13.7109375" style="168" customWidth="1"/>
    <col min="5" max="5" width="12.28515625" style="168" customWidth="1"/>
    <col min="6" max="7" width="15.7109375" style="168" customWidth="1"/>
    <col min="8" max="9" width="16.5703125" style="168" customWidth="1"/>
    <col min="10" max="10" width="16.7109375" style="168" customWidth="1"/>
    <col min="11" max="11" width="13.7109375" style="168" customWidth="1"/>
    <col min="12" max="16384" width="9.140625" style="168" hidden="1"/>
  </cols>
  <sheetData>
    <row r="1" spans="1:18" ht="33" customHeight="1" x14ac:dyDescent="0.25">
      <c r="A1" s="1419" t="s">
        <v>676</v>
      </c>
      <c r="B1" s="1419"/>
      <c r="C1" s="1419"/>
      <c r="D1" s="1419"/>
      <c r="E1" s="1419"/>
      <c r="F1" s="1419"/>
      <c r="G1" s="1419"/>
      <c r="H1" s="1419"/>
      <c r="I1" s="1419"/>
      <c r="J1" s="1419"/>
      <c r="K1" s="1419"/>
      <c r="L1" s="433"/>
      <c r="M1" s="433"/>
      <c r="N1" s="433"/>
      <c r="O1" s="433"/>
      <c r="P1" s="433"/>
      <c r="Q1" s="433"/>
      <c r="R1" s="433"/>
    </row>
    <row r="2" spans="1:18" ht="18" customHeight="1" x14ac:dyDescent="0.25">
      <c r="A2" s="1418" t="s">
        <v>796</v>
      </c>
      <c r="B2" s="1418"/>
      <c r="C2" s="1418"/>
      <c r="D2" s="1418"/>
      <c r="E2" s="1418"/>
      <c r="F2" s="1418"/>
      <c r="G2" s="1418"/>
      <c r="H2" s="1150"/>
      <c r="I2" s="1422" t="str">
        <f>IF(COUNTIF(I6:J22,"YES")=5,"ELIGIBLE","NOT ELIGIBLE")</f>
        <v>NOT ELIGIBLE</v>
      </c>
      <c r="J2" s="1422"/>
      <c r="K2" s="1418"/>
      <c r="L2" s="434"/>
      <c r="M2" s="434"/>
      <c r="N2" s="434"/>
      <c r="O2" s="434"/>
      <c r="P2" s="434"/>
      <c r="Q2" s="434"/>
      <c r="R2" s="434"/>
    </row>
    <row r="3" spans="1:18" ht="18" customHeight="1" x14ac:dyDescent="0.25">
      <c r="A3" s="1418"/>
      <c r="B3" s="1418"/>
      <c r="C3" s="1418"/>
      <c r="D3" s="1418"/>
      <c r="E3" s="1418"/>
      <c r="F3" s="1418"/>
      <c r="G3" s="1418"/>
      <c r="H3" s="1150"/>
      <c r="I3" s="1422"/>
      <c r="J3" s="1422"/>
      <c r="K3" s="1418"/>
      <c r="L3" s="434"/>
      <c r="M3" s="434"/>
      <c r="N3" s="434"/>
      <c r="O3" s="434"/>
      <c r="P3" s="434"/>
      <c r="Q3" s="434"/>
      <c r="R3" s="434"/>
    </row>
    <row r="4" spans="1:18" ht="15" x14ac:dyDescent="0.25">
      <c r="A4" s="490"/>
      <c r="B4" s="491"/>
      <c r="C4" s="491"/>
      <c r="D4" s="491"/>
      <c r="E4" s="491"/>
      <c r="F4" s="491"/>
      <c r="G4" s="491"/>
      <c r="H4" s="491"/>
      <c r="I4" s="491"/>
      <c r="J4" s="491"/>
      <c r="K4" s="491"/>
    </row>
    <row r="5" spans="1:18" ht="21" x14ac:dyDescent="0.25">
      <c r="A5" s="490"/>
      <c r="B5" s="748" t="s">
        <v>2011</v>
      </c>
      <c r="C5" s="491"/>
      <c r="D5" s="491"/>
      <c r="E5" s="491"/>
      <c r="F5" s="491"/>
      <c r="G5" s="491"/>
      <c r="H5" s="491"/>
      <c r="I5" s="491"/>
      <c r="J5" s="491"/>
      <c r="K5" s="491"/>
    </row>
    <row r="6" spans="1:18" ht="15" x14ac:dyDescent="0.25">
      <c r="A6" s="490"/>
      <c r="B6" s="1421" t="s">
        <v>2012</v>
      </c>
      <c r="C6" s="1421"/>
      <c r="D6" s="1421"/>
      <c r="E6" s="1421"/>
      <c r="F6" s="1421"/>
      <c r="G6" s="1421"/>
      <c r="H6" s="1421"/>
      <c r="I6" s="1420" t="s">
        <v>281</v>
      </c>
      <c r="J6" s="1420"/>
      <c r="K6" s="491"/>
    </row>
    <row r="7" spans="1:18" ht="15" x14ac:dyDescent="0.25">
      <c r="A7" s="490"/>
      <c r="B7" s="1421"/>
      <c r="C7" s="1421"/>
      <c r="D7" s="1421"/>
      <c r="E7" s="1421"/>
      <c r="F7" s="1421"/>
      <c r="G7" s="1421"/>
      <c r="H7" s="1421"/>
      <c r="I7" s="1420"/>
      <c r="J7" s="1420"/>
      <c r="K7" s="491"/>
    </row>
    <row r="8" spans="1:18" ht="15" x14ac:dyDescent="0.25">
      <c r="A8" s="490"/>
      <c r="B8" s="491"/>
      <c r="C8" s="491"/>
      <c r="D8" s="491"/>
      <c r="E8" s="491"/>
      <c r="F8" s="491"/>
      <c r="G8" s="491"/>
      <c r="H8" s="491"/>
      <c r="I8" s="491"/>
      <c r="J8" s="491"/>
      <c r="K8" s="491"/>
    </row>
    <row r="9" spans="1:18" ht="21" customHeight="1" x14ac:dyDescent="0.25">
      <c r="A9" s="490"/>
      <c r="B9" s="748" t="s">
        <v>2013</v>
      </c>
      <c r="C9" s="491"/>
      <c r="D9" s="491"/>
      <c r="E9" s="491"/>
      <c r="F9" s="491"/>
      <c r="G9" s="491"/>
      <c r="H9" s="491"/>
      <c r="I9" s="491"/>
      <c r="J9" s="491"/>
      <c r="K9" s="491"/>
    </row>
    <row r="10" spans="1:18" ht="14.25" customHeight="1" x14ac:dyDescent="0.25">
      <c r="A10" s="491"/>
      <c r="B10" s="1421" t="s">
        <v>677</v>
      </c>
      <c r="C10" s="1421"/>
      <c r="D10" s="1421"/>
      <c r="E10" s="1421"/>
      <c r="F10" s="1421"/>
      <c r="G10" s="1421"/>
      <c r="H10" s="1421"/>
      <c r="I10" s="1420" t="s">
        <v>281</v>
      </c>
      <c r="J10" s="1420"/>
      <c r="K10" s="491"/>
    </row>
    <row r="11" spans="1:18" ht="15" x14ac:dyDescent="0.25">
      <c r="A11" s="490"/>
      <c r="B11" s="1421"/>
      <c r="C11" s="1421"/>
      <c r="D11" s="1421"/>
      <c r="E11" s="1421"/>
      <c r="F11" s="1421"/>
      <c r="G11" s="1421"/>
      <c r="H11" s="1421"/>
      <c r="I11" s="1420"/>
      <c r="J11" s="1420"/>
      <c r="K11" s="491"/>
    </row>
    <row r="12" spans="1:18" ht="15" x14ac:dyDescent="0.25">
      <c r="A12" s="490"/>
      <c r="B12" s="491"/>
      <c r="C12" s="491"/>
      <c r="D12" s="491"/>
      <c r="E12" s="491"/>
      <c r="F12" s="491"/>
      <c r="G12" s="491"/>
      <c r="H12" s="491"/>
      <c r="I12" s="491"/>
      <c r="J12" s="491"/>
      <c r="K12" s="491"/>
    </row>
    <row r="13" spans="1:18" ht="21" customHeight="1" x14ac:dyDescent="0.25">
      <c r="A13" s="490"/>
      <c r="B13" s="748" t="s">
        <v>2014</v>
      </c>
      <c r="C13" s="491"/>
      <c r="D13" s="491"/>
      <c r="E13" s="491"/>
      <c r="F13" s="491"/>
      <c r="G13" s="491"/>
      <c r="H13" s="491"/>
      <c r="I13" s="491"/>
      <c r="J13" s="491"/>
      <c r="K13" s="491"/>
    </row>
    <row r="14" spans="1:18" ht="18" customHeight="1" x14ac:dyDescent="0.25">
      <c r="A14" s="490"/>
      <c r="B14" s="1421" t="s">
        <v>678</v>
      </c>
      <c r="C14" s="1421"/>
      <c r="D14" s="1421"/>
      <c r="E14" s="1421"/>
      <c r="F14" s="1421"/>
      <c r="G14" s="1421"/>
      <c r="H14" s="1421"/>
      <c r="I14" s="1420" t="s">
        <v>281</v>
      </c>
      <c r="J14" s="1420"/>
      <c r="K14" s="491"/>
    </row>
    <row r="15" spans="1:18" ht="15" x14ac:dyDescent="0.25">
      <c r="A15" s="490"/>
      <c r="B15" s="491"/>
      <c r="C15" s="491"/>
      <c r="D15" s="491"/>
      <c r="E15" s="491"/>
      <c r="F15" s="491"/>
      <c r="G15" s="491"/>
      <c r="H15" s="491"/>
      <c r="I15" s="491"/>
      <c r="J15" s="491"/>
      <c r="K15" s="491"/>
    </row>
    <row r="16" spans="1:18" ht="21" customHeight="1" x14ac:dyDescent="0.25">
      <c r="A16" s="490"/>
      <c r="B16" s="748" t="s">
        <v>2015</v>
      </c>
      <c r="C16" s="491"/>
      <c r="D16" s="491"/>
      <c r="E16" s="491"/>
      <c r="F16" s="491"/>
      <c r="G16" s="491"/>
      <c r="H16" s="491"/>
      <c r="I16" s="491"/>
      <c r="J16" s="491"/>
      <c r="K16" s="491"/>
    </row>
    <row r="17" spans="1:11" ht="14.25" customHeight="1" x14ac:dyDescent="0.25">
      <c r="A17" s="490"/>
      <c r="B17" s="1421" t="s">
        <v>679</v>
      </c>
      <c r="C17" s="1421"/>
      <c r="D17" s="1421"/>
      <c r="E17" s="1421"/>
      <c r="F17" s="1421"/>
      <c r="G17" s="1421"/>
      <c r="H17" s="1421"/>
      <c r="I17" s="1420" t="s">
        <v>281</v>
      </c>
      <c r="J17" s="1420"/>
      <c r="K17" s="491"/>
    </row>
    <row r="18" spans="1:11" ht="15" x14ac:dyDescent="0.25">
      <c r="A18" s="490"/>
      <c r="B18" s="1421"/>
      <c r="C18" s="1421"/>
      <c r="D18" s="1421"/>
      <c r="E18" s="1421"/>
      <c r="F18" s="1421"/>
      <c r="G18" s="1421"/>
      <c r="H18" s="1421"/>
      <c r="I18" s="1420"/>
      <c r="J18" s="1420"/>
      <c r="K18" s="491"/>
    </row>
    <row r="19" spans="1:11" ht="15" x14ac:dyDescent="0.25">
      <c r="A19" s="490"/>
      <c r="B19" s="491"/>
      <c r="C19" s="491"/>
      <c r="D19" s="491"/>
      <c r="E19" s="491"/>
      <c r="F19" s="491"/>
      <c r="G19" s="491"/>
      <c r="H19" s="491"/>
      <c r="I19" s="491"/>
      <c r="J19" s="491"/>
      <c r="K19" s="491"/>
    </row>
    <row r="20" spans="1:11" ht="21" customHeight="1" x14ac:dyDescent="0.25">
      <c r="A20" s="490"/>
      <c r="B20" s="748" t="s">
        <v>2016</v>
      </c>
      <c r="C20" s="491"/>
      <c r="D20" s="491"/>
      <c r="E20" s="491"/>
      <c r="F20" s="491"/>
      <c r="G20" s="491"/>
      <c r="H20" s="491"/>
      <c r="I20" s="491"/>
      <c r="J20" s="491"/>
      <c r="K20" s="491"/>
    </row>
    <row r="21" spans="1:11" ht="18" customHeight="1" x14ac:dyDescent="0.25">
      <c r="A21" s="490"/>
      <c r="B21" s="1421" t="s">
        <v>2090</v>
      </c>
      <c r="C21" s="1421"/>
      <c r="D21" s="1421"/>
      <c r="E21" s="1421"/>
      <c r="F21" s="1421"/>
      <c r="G21" s="1421"/>
      <c r="H21" s="1421"/>
      <c r="I21" s="1420" t="s">
        <v>281</v>
      </c>
      <c r="J21" s="1420"/>
      <c r="K21" s="491"/>
    </row>
    <row r="22" spans="1:11" ht="15" x14ac:dyDescent="0.25">
      <c r="A22" s="490"/>
      <c r="B22" s="491"/>
      <c r="C22" s="491"/>
      <c r="D22" s="491"/>
      <c r="E22" s="491"/>
      <c r="F22" s="491"/>
      <c r="G22" s="491"/>
      <c r="H22" s="491"/>
      <c r="I22" s="491"/>
      <c r="J22" s="491"/>
      <c r="K22" s="491"/>
    </row>
    <row r="23" spans="1:11" ht="15" x14ac:dyDescent="0.25">
      <c r="A23" s="490"/>
      <c r="B23" s="491"/>
      <c r="C23" s="491"/>
      <c r="D23" s="491"/>
      <c r="E23" s="491"/>
      <c r="F23" s="491"/>
      <c r="G23" s="491"/>
      <c r="H23" s="491"/>
      <c r="I23" s="491"/>
      <c r="J23" s="491"/>
      <c r="K23" s="491"/>
    </row>
    <row r="24" spans="1:11" ht="15" hidden="1" x14ac:dyDescent="0.25">
      <c r="A24" s="490"/>
      <c r="B24" s="491"/>
      <c r="C24" s="491"/>
      <c r="D24" s="491"/>
      <c r="E24" s="491"/>
      <c r="F24" s="491"/>
      <c r="G24" s="491"/>
      <c r="H24" s="491"/>
      <c r="I24" s="491"/>
      <c r="J24" s="491"/>
      <c r="K24" s="491"/>
    </row>
    <row r="25" spans="1:11" ht="15" hidden="1" x14ac:dyDescent="0.25">
      <c r="A25" s="490"/>
      <c r="B25" s="491"/>
      <c r="C25" s="491"/>
      <c r="D25" s="491"/>
      <c r="E25" s="491"/>
      <c r="F25" s="491"/>
      <c r="G25" s="491"/>
      <c r="H25" s="491"/>
      <c r="I25" s="491"/>
      <c r="J25" s="491"/>
      <c r="K25" s="491"/>
    </row>
    <row r="26" spans="1:11" ht="15" hidden="1" x14ac:dyDescent="0.25">
      <c r="A26" s="229"/>
      <c r="B26" s="432"/>
      <c r="C26" s="432"/>
      <c r="D26" s="432"/>
      <c r="E26" s="432"/>
      <c r="F26" s="432"/>
      <c r="G26" s="432"/>
      <c r="H26" s="432"/>
      <c r="I26" s="432"/>
      <c r="J26" s="432"/>
      <c r="K26" s="432"/>
    </row>
    <row r="27" spans="1:11" ht="15" hidden="1" x14ac:dyDescent="0.25">
      <c r="A27" s="229"/>
      <c r="B27" s="432"/>
      <c r="C27" s="432"/>
      <c r="D27" s="432"/>
      <c r="E27" s="432"/>
      <c r="F27" s="432"/>
      <c r="G27" s="432"/>
      <c r="H27" s="432"/>
      <c r="I27" s="432"/>
      <c r="J27" s="432"/>
      <c r="K27" s="432"/>
    </row>
    <row r="28" spans="1:11" ht="15" hidden="1" x14ac:dyDescent="0.25">
      <c r="A28" s="229"/>
      <c r="B28" s="432"/>
      <c r="C28" s="432"/>
      <c r="D28" s="432"/>
      <c r="E28" s="432"/>
      <c r="F28" s="432"/>
      <c r="G28" s="432"/>
      <c r="H28" s="432"/>
      <c r="I28" s="432"/>
      <c r="J28" s="432"/>
      <c r="K28" s="432"/>
    </row>
    <row r="29" spans="1:11" ht="15" hidden="1" x14ac:dyDescent="0.25">
      <c r="A29" s="229"/>
      <c r="B29" s="432"/>
      <c r="C29" s="432"/>
      <c r="D29" s="432"/>
      <c r="E29" s="432"/>
      <c r="F29" s="432"/>
      <c r="G29" s="432"/>
      <c r="H29" s="432"/>
      <c r="I29" s="432"/>
      <c r="J29" s="432"/>
      <c r="K29" s="432"/>
    </row>
    <row r="30" spans="1:11" ht="15" hidden="1" x14ac:dyDescent="0.25"/>
    <row r="31" spans="1:11" ht="14.25" hidden="1" customHeight="1" x14ac:dyDescent="0.25"/>
    <row r="32" spans="1:11" ht="14.25" hidden="1" customHeight="1" x14ac:dyDescent="0.25"/>
    <row r="33" ht="14.25" hidden="1" customHeight="1" x14ac:dyDescent="0.25"/>
    <row r="34" ht="14.25" hidden="1" customHeight="1" x14ac:dyDescent="0.25"/>
    <row r="35" ht="14.25" hidden="1" customHeight="1" x14ac:dyDescent="0.25"/>
    <row r="36" ht="14.25" hidden="1" customHeight="1" x14ac:dyDescent="0.25"/>
    <row r="37" ht="14.25" hidden="1" customHeight="1" x14ac:dyDescent="0.25"/>
    <row r="38" ht="14.25" hidden="1" customHeight="1" x14ac:dyDescent="0.25"/>
    <row r="39" ht="14.25" hidden="1" customHeight="1" x14ac:dyDescent="0.25"/>
    <row r="40" ht="14.25" hidden="1" customHeight="1" x14ac:dyDescent="0.25"/>
    <row r="41" ht="14.25" hidden="1" customHeight="1" x14ac:dyDescent="0.25"/>
    <row r="42" ht="14.25" hidden="1" customHeight="1" x14ac:dyDescent="0.25"/>
    <row r="43" ht="14.25" hidden="1" customHeight="1" x14ac:dyDescent="0.25"/>
    <row r="44" ht="14.25" hidden="1" customHeight="1" x14ac:dyDescent="0.25"/>
    <row r="45" ht="14.25" hidden="1" customHeight="1" x14ac:dyDescent="0.25"/>
    <row r="46" ht="14.25" hidden="1" customHeight="1" x14ac:dyDescent="0.25"/>
    <row r="47" ht="14.25" hidden="1" customHeight="1" x14ac:dyDescent="0.25"/>
    <row r="48" ht="14.25" hidden="1" customHeight="1" x14ac:dyDescent="0.25"/>
    <row r="49" ht="14.25" hidden="1" customHeight="1" x14ac:dyDescent="0.25"/>
    <row r="50" ht="14.25" hidden="1" customHeight="1" x14ac:dyDescent="0.25"/>
    <row r="51" ht="14.25" hidden="1" customHeight="1" x14ac:dyDescent="0.25"/>
    <row r="52" ht="14.25" hidden="1" customHeight="1" x14ac:dyDescent="0.25"/>
    <row r="53" ht="14.25" hidden="1" customHeight="1" x14ac:dyDescent="0.25"/>
    <row r="54" ht="14.25" hidden="1" customHeight="1" x14ac:dyDescent="0.25"/>
    <row r="55" ht="14.25" hidden="1" customHeight="1" x14ac:dyDescent="0.25"/>
    <row r="56" ht="14.25" hidden="1" customHeight="1" x14ac:dyDescent="0.25"/>
    <row r="57" ht="14.25" hidden="1" customHeight="1" x14ac:dyDescent="0.25"/>
    <row r="58" ht="14.25" hidden="1" customHeight="1" x14ac:dyDescent="0.25"/>
    <row r="59" ht="14.25" hidden="1" customHeight="1" x14ac:dyDescent="0.25"/>
    <row r="60" ht="14.25" hidden="1" customHeight="1" x14ac:dyDescent="0.25"/>
    <row r="61" ht="14.25" hidden="1" customHeight="1" x14ac:dyDescent="0.25"/>
    <row r="62" ht="14.25" hidden="1" customHeight="1" x14ac:dyDescent="0.25"/>
    <row r="63" ht="14.25" hidden="1" customHeight="1" x14ac:dyDescent="0.25"/>
    <row r="64" ht="14.25" hidden="1" customHeight="1" x14ac:dyDescent="0.25"/>
    <row r="65" ht="14.25" hidden="1" customHeight="1" x14ac:dyDescent="0.25"/>
    <row r="66" ht="14.25" hidden="1" customHeight="1" x14ac:dyDescent="0.25"/>
    <row r="67" ht="14.25" hidden="1" customHeight="1" x14ac:dyDescent="0.25"/>
    <row r="68" ht="14.25" hidden="1" customHeight="1" x14ac:dyDescent="0.25"/>
    <row r="69" ht="14.25" hidden="1" customHeight="1" x14ac:dyDescent="0.25"/>
    <row r="70" ht="14.25" hidden="1" customHeight="1" x14ac:dyDescent="0.25"/>
    <row r="71" ht="14.25" hidden="1" customHeight="1" x14ac:dyDescent="0.25"/>
    <row r="72" ht="14.25" hidden="1" customHeight="1" x14ac:dyDescent="0.25"/>
    <row r="73" ht="14.25" hidden="1" customHeight="1" x14ac:dyDescent="0.25"/>
    <row r="74" ht="14.25" hidden="1" customHeight="1" x14ac:dyDescent="0.25"/>
    <row r="75" ht="14.25" hidden="1" customHeight="1" x14ac:dyDescent="0.25"/>
    <row r="76" ht="14.25" hidden="1" customHeight="1" x14ac:dyDescent="0.25"/>
    <row r="77" ht="14.25" hidden="1" customHeight="1" x14ac:dyDescent="0.25"/>
    <row r="78" ht="14.25" hidden="1" customHeight="1" x14ac:dyDescent="0.25"/>
    <row r="79" ht="14.25" hidden="1" customHeight="1" x14ac:dyDescent="0.25"/>
    <row r="80" ht="14.25" hidden="1" customHeight="1" x14ac:dyDescent="0.25"/>
    <row r="81" ht="14.25" hidden="1" customHeight="1" x14ac:dyDescent="0.25"/>
  </sheetData>
  <sheetProtection algorithmName="SHA-512" hashValue="dZyIbZ+jVF15eJ8+VqXwS6G9ooKJ7/G7xPn7H1wfOXAR/hqddzmxq8bxJz28hJ15DwDAOSY3HcjyxNchKGmF/w==" saltValue="6aNx/Q4MPyqfaamuAH/WrA==" spinCount="100000" sheet="1" objects="1" scenarios="1"/>
  <dataConsolidate/>
  <mergeCells count="14">
    <mergeCell ref="K2:K3"/>
    <mergeCell ref="A1:K1"/>
    <mergeCell ref="I21:J21"/>
    <mergeCell ref="I10:J11"/>
    <mergeCell ref="B14:H14"/>
    <mergeCell ref="I14:J14"/>
    <mergeCell ref="B17:H18"/>
    <mergeCell ref="I17:J18"/>
    <mergeCell ref="B10:H11"/>
    <mergeCell ref="B21:H21"/>
    <mergeCell ref="B6:H7"/>
    <mergeCell ref="I6:J7"/>
    <mergeCell ref="A2:G3"/>
    <mergeCell ref="I2:J3"/>
  </mergeCells>
  <dataValidations disablePrompts="1" count="1">
    <dataValidation type="list" allowBlank="1" showInputMessage="1" showErrorMessage="1" sqref="I10:J11 I14:J14 I17:J18 I21:J21 I6:J7">
      <formula1>"Please confirm,Eligibility Rule met,Eligibility Rule not met"</formula1>
    </dataValidation>
  </dataValidations>
  <pageMargins left="0.7" right="0.7" top="0.75" bottom="0.75" header="0.3" footer="0.3"/>
  <pageSetup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29"/>
  <sheetViews>
    <sheetView showRowColHeaders="0" workbookViewId="0">
      <pane ySplit="3" topLeftCell="A4" activePane="bottomLeft" state="frozen"/>
      <selection pane="bottomLeft" activeCell="C7" sqref="C7:F7"/>
    </sheetView>
  </sheetViews>
  <sheetFormatPr defaultColWidth="0" defaultRowHeight="14.25" zeroHeight="1" x14ac:dyDescent="0.2"/>
  <cols>
    <col min="1" max="1" width="4.140625" style="11" customWidth="1"/>
    <col min="2" max="2" width="34.42578125" style="11" customWidth="1"/>
    <col min="3" max="3" width="14.42578125" style="11" customWidth="1"/>
    <col min="4" max="4" width="13.7109375" style="11" customWidth="1"/>
    <col min="5" max="5" width="9.140625" style="11" customWidth="1"/>
    <col min="6" max="6" width="15.7109375" style="11" customWidth="1"/>
    <col min="7" max="8" width="16.5703125" style="11" customWidth="1"/>
    <col min="9" max="9" width="16.7109375" style="11" customWidth="1"/>
    <col min="10" max="10" width="13.7109375" style="11" customWidth="1"/>
    <col min="11" max="16384" width="9.140625" style="11" hidden="1"/>
  </cols>
  <sheetData>
    <row r="1" spans="1:17" ht="33" customHeight="1" x14ac:dyDescent="0.2">
      <c r="A1" s="1419" t="s">
        <v>18</v>
      </c>
      <c r="B1" s="1419"/>
      <c r="C1" s="1419"/>
      <c r="D1" s="1419"/>
      <c r="E1" s="1419"/>
      <c r="F1" s="1419"/>
      <c r="G1" s="1419"/>
      <c r="H1" s="1419"/>
      <c r="I1" s="1419"/>
      <c r="J1" s="1419"/>
      <c r="K1" s="42"/>
      <c r="L1" s="42"/>
      <c r="M1" s="42"/>
      <c r="N1" s="42"/>
      <c r="O1" s="42"/>
      <c r="P1" s="42"/>
      <c r="Q1" s="42"/>
    </row>
    <row r="2" spans="1:17" ht="18.75" customHeight="1" x14ac:dyDescent="0.2">
      <c r="A2" s="1429" t="s">
        <v>2255</v>
      </c>
      <c r="B2" s="1430"/>
      <c r="C2" s="1430"/>
      <c r="D2" s="1430"/>
      <c r="E2" s="1430"/>
      <c r="F2" s="1430"/>
      <c r="G2" s="1430"/>
      <c r="H2" s="1430"/>
      <c r="I2" s="1430"/>
      <c r="J2" s="1430"/>
      <c r="K2" s="13"/>
      <c r="L2" s="13"/>
      <c r="M2" s="13"/>
      <c r="N2" s="13"/>
      <c r="O2" s="13"/>
      <c r="P2" s="13"/>
      <c r="Q2" s="13"/>
    </row>
    <row r="3" spans="1:17" ht="18.75" customHeight="1" x14ac:dyDescent="0.2">
      <c r="A3" s="1430"/>
      <c r="B3" s="1430"/>
      <c r="C3" s="1430"/>
      <c r="D3" s="1430"/>
      <c r="E3" s="1430"/>
      <c r="F3" s="1430"/>
      <c r="G3" s="1430"/>
      <c r="H3" s="1430"/>
      <c r="I3" s="1430"/>
      <c r="J3" s="1430"/>
      <c r="K3" s="13"/>
      <c r="L3" s="13"/>
      <c r="M3" s="13"/>
      <c r="N3" s="13"/>
      <c r="O3" s="13"/>
      <c r="P3" s="13"/>
      <c r="Q3" s="13"/>
    </row>
    <row r="4" spans="1:17" ht="15" customHeight="1" x14ac:dyDescent="0.2">
      <c r="A4" s="12"/>
      <c r="B4" s="12"/>
      <c r="C4" s="12"/>
      <c r="D4" s="13"/>
      <c r="E4" s="13"/>
      <c r="F4" s="13"/>
      <c r="G4" s="13"/>
      <c r="H4" s="13"/>
      <c r="I4" s="13"/>
      <c r="J4" s="13"/>
      <c r="K4" s="13"/>
      <c r="L4" s="13"/>
      <c r="M4" s="13"/>
      <c r="N4" s="13"/>
      <c r="O4" s="13"/>
      <c r="P4" s="13"/>
      <c r="Q4" s="13"/>
    </row>
    <row r="5" spans="1:17" ht="18" customHeight="1" x14ac:dyDescent="0.2">
      <c r="A5" s="1431" t="s">
        <v>779</v>
      </c>
      <c r="B5" s="1431"/>
      <c r="C5" s="1431"/>
      <c r="D5" s="1431"/>
      <c r="E5" s="1431"/>
      <c r="F5" s="1431"/>
      <c r="G5" s="1431"/>
      <c r="H5" s="1431"/>
      <c r="I5" s="1431"/>
      <c r="J5" s="1432"/>
      <c r="K5" s="13"/>
      <c r="L5" s="13"/>
      <c r="M5" s="13"/>
      <c r="N5" s="13"/>
      <c r="O5" s="13"/>
      <c r="P5" s="13"/>
      <c r="Q5" s="13"/>
    </row>
    <row r="6" spans="1:17" ht="15" customHeight="1" x14ac:dyDescent="0.2">
      <c r="A6" s="12"/>
      <c r="B6" s="447"/>
      <c r="C6" s="452"/>
      <c r="D6" s="453"/>
      <c r="E6" s="453"/>
      <c r="F6" s="453"/>
      <c r="G6" s="13"/>
      <c r="H6" s="13"/>
      <c r="I6" s="13"/>
      <c r="J6" s="13"/>
      <c r="K6" s="13"/>
      <c r="L6" s="13"/>
      <c r="M6" s="13"/>
      <c r="N6" s="13"/>
      <c r="O6" s="13"/>
      <c r="P6" s="13"/>
      <c r="Q6" s="13"/>
    </row>
    <row r="7" spans="1:17" ht="19.5" customHeight="1" x14ac:dyDescent="0.2">
      <c r="A7" s="12"/>
      <c r="B7" s="446" t="s">
        <v>747</v>
      </c>
      <c r="C7" s="1436" t="s">
        <v>62</v>
      </c>
      <c r="D7" s="1436"/>
      <c r="E7" s="1436"/>
      <c r="F7" s="1436"/>
      <c r="G7" s="13"/>
      <c r="H7" s="13"/>
      <c r="I7" s="13"/>
      <c r="J7" s="13"/>
      <c r="K7" s="13"/>
      <c r="L7" s="13"/>
      <c r="M7" s="13"/>
      <c r="N7" s="13"/>
      <c r="O7" s="13"/>
      <c r="P7" s="13"/>
      <c r="Q7" s="13"/>
    </row>
    <row r="8" spans="1:17" ht="18" customHeight="1" x14ac:dyDescent="0.2">
      <c r="A8" s="12"/>
      <c r="B8" s="447"/>
      <c r="C8" s="452"/>
      <c r="D8" s="453"/>
      <c r="E8" s="453"/>
      <c r="F8" s="453"/>
      <c r="G8" s="13"/>
      <c r="H8" s="13"/>
      <c r="I8" s="13"/>
      <c r="J8" s="13"/>
      <c r="K8" s="13"/>
      <c r="L8" s="13"/>
      <c r="M8" s="13"/>
      <c r="N8" s="13"/>
      <c r="O8" s="13"/>
      <c r="P8" s="13"/>
      <c r="Q8" s="13"/>
    </row>
    <row r="9" spans="1:17" ht="18" customHeight="1" x14ac:dyDescent="0.2">
      <c r="A9" s="1431" t="s">
        <v>778</v>
      </c>
      <c r="B9" s="1431"/>
      <c r="C9" s="1431"/>
      <c r="D9" s="1431"/>
      <c r="E9" s="1431"/>
      <c r="F9" s="1431"/>
      <c r="G9" s="1431"/>
      <c r="H9" s="1431"/>
      <c r="I9" s="1431"/>
      <c r="J9" s="1432"/>
      <c r="K9" s="13"/>
      <c r="L9" s="13"/>
      <c r="M9" s="13"/>
      <c r="N9" s="13"/>
      <c r="O9" s="13"/>
      <c r="P9" s="13"/>
      <c r="Q9" s="13"/>
    </row>
    <row r="10" spans="1:17" ht="15" customHeight="1" x14ac:dyDescent="0.2">
      <c r="A10" s="12"/>
      <c r="B10" s="447"/>
      <c r="C10" s="452"/>
      <c r="D10" s="453"/>
      <c r="E10" s="453"/>
      <c r="F10" s="453"/>
      <c r="G10" s="13"/>
      <c r="H10" s="13"/>
      <c r="I10" s="13"/>
      <c r="J10" s="13"/>
      <c r="K10" s="13"/>
      <c r="L10" s="13"/>
      <c r="M10" s="13"/>
      <c r="N10" s="13"/>
      <c r="O10" s="13"/>
      <c r="P10" s="13"/>
      <c r="Q10" s="13"/>
    </row>
    <row r="11" spans="1:17" ht="20.25" customHeight="1" x14ac:dyDescent="0.2">
      <c r="A11" s="12"/>
      <c r="B11" s="445" t="s">
        <v>118</v>
      </c>
      <c r="C11" s="1433"/>
      <c r="D11" s="1433"/>
      <c r="E11" s="1433"/>
      <c r="F11" s="1433"/>
      <c r="G11" s="13"/>
      <c r="H11" s="13"/>
      <c r="I11" s="13"/>
      <c r="J11" s="13"/>
      <c r="K11" s="13"/>
      <c r="L11" s="13"/>
      <c r="M11" s="13"/>
      <c r="N11" s="13"/>
      <c r="O11" s="13"/>
      <c r="P11" s="13"/>
      <c r="Q11" s="13"/>
    </row>
    <row r="12" spans="1:17" ht="20.25" customHeight="1" x14ac:dyDescent="0.2">
      <c r="A12" s="12"/>
      <c r="B12" s="445" t="s">
        <v>777</v>
      </c>
      <c r="C12" s="1433"/>
      <c r="D12" s="1433"/>
      <c r="E12" s="1433"/>
      <c r="F12" s="1433"/>
      <c r="G12" s="13"/>
      <c r="H12" s="13"/>
      <c r="I12" s="13"/>
      <c r="J12" s="13"/>
      <c r="K12" s="13"/>
      <c r="L12" s="13"/>
      <c r="M12" s="13"/>
      <c r="N12" s="13"/>
      <c r="O12" s="13"/>
      <c r="P12" s="13"/>
      <c r="Q12" s="13"/>
    </row>
    <row r="13" spans="1:17" ht="20.25" customHeight="1" x14ac:dyDescent="0.2">
      <c r="A13" s="12"/>
      <c r="B13" s="445" t="s">
        <v>788</v>
      </c>
      <c r="C13" s="1433"/>
      <c r="D13" s="1433"/>
      <c r="E13" s="1433"/>
      <c r="F13" s="1433"/>
      <c r="G13" s="13"/>
      <c r="H13" s="13"/>
      <c r="I13" s="13"/>
      <c r="J13" s="13"/>
      <c r="K13" s="13"/>
      <c r="L13" s="13"/>
      <c r="M13" s="13"/>
      <c r="N13" s="13"/>
      <c r="O13" s="13"/>
      <c r="P13" s="13"/>
      <c r="Q13" s="13"/>
    </row>
    <row r="14" spans="1:17" ht="20.25" customHeight="1" x14ac:dyDescent="0.2">
      <c r="A14" s="12"/>
      <c r="B14" s="445" t="s">
        <v>776</v>
      </c>
      <c r="C14" s="1433"/>
      <c r="D14" s="1433"/>
      <c r="E14" s="1433"/>
      <c r="F14" s="1433"/>
      <c r="G14" s="152"/>
      <c r="H14" s="13"/>
      <c r="I14" s="13"/>
      <c r="J14" s="13"/>
      <c r="K14" s="13"/>
      <c r="L14" s="13"/>
      <c r="M14" s="13"/>
      <c r="N14" s="13"/>
      <c r="O14" s="13"/>
      <c r="P14" s="13"/>
      <c r="Q14" s="13"/>
    </row>
    <row r="15" spans="1:17" ht="20.25" customHeight="1" x14ac:dyDescent="0.2">
      <c r="A15" s="12"/>
      <c r="B15" s="152"/>
      <c r="C15" s="152"/>
      <c r="D15" s="152"/>
      <c r="E15" s="152"/>
      <c r="F15" s="152"/>
      <c r="G15" s="152"/>
      <c r="H15" s="13"/>
      <c r="I15" s="13"/>
      <c r="J15" s="13"/>
      <c r="K15" s="13"/>
      <c r="L15" s="13"/>
      <c r="M15" s="13"/>
      <c r="N15" s="13"/>
      <c r="O15" s="13"/>
      <c r="P15" s="13"/>
      <c r="Q15" s="13"/>
    </row>
    <row r="16" spans="1:17" ht="18" customHeight="1" x14ac:dyDescent="0.2">
      <c r="A16" s="1431" t="s">
        <v>791</v>
      </c>
      <c r="B16" s="1431"/>
      <c r="C16" s="1431"/>
      <c r="D16" s="1431"/>
      <c r="E16" s="1431"/>
      <c r="F16" s="1431"/>
      <c r="G16" s="1431"/>
      <c r="H16" s="1431"/>
      <c r="I16" s="1431"/>
      <c r="J16" s="1432"/>
      <c r="K16" s="13"/>
      <c r="L16" s="13"/>
      <c r="M16" s="13"/>
      <c r="N16" s="13"/>
      <c r="O16" s="13"/>
      <c r="P16" s="13"/>
      <c r="Q16" s="13"/>
    </row>
    <row r="17" spans="1:17" ht="15" customHeight="1" x14ac:dyDescent="0.2">
      <c r="A17" s="12"/>
      <c r="B17" s="447"/>
      <c r="C17" s="452"/>
      <c r="D17" s="453"/>
      <c r="E17" s="453"/>
      <c r="F17" s="453"/>
      <c r="G17" s="13"/>
      <c r="H17" s="13"/>
      <c r="I17" s="13"/>
      <c r="J17" s="13"/>
      <c r="K17" s="13"/>
      <c r="L17" s="13"/>
      <c r="M17" s="13"/>
      <c r="N17" s="13"/>
      <c r="O17" s="13"/>
      <c r="P17" s="13"/>
      <c r="Q17" s="13"/>
    </row>
    <row r="18" spans="1:17" ht="20.25" customHeight="1" x14ac:dyDescent="0.2">
      <c r="A18" s="12"/>
      <c r="B18" s="445" t="s">
        <v>787</v>
      </c>
      <c r="C18" s="1433"/>
      <c r="D18" s="1433"/>
      <c r="E18" s="1433"/>
      <c r="F18" s="1433"/>
      <c r="G18" s="13"/>
      <c r="H18" s="13"/>
      <c r="I18" s="13"/>
      <c r="J18" s="13"/>
      <c r="K18" s="13"/>
      <c r="L18" s="13"/>
      <c r="M18" s="13"/>
      <c r="N18" s="13"/>
      <c r="O18" s="13"/>
      <c r="P18" s="13"/>
      <c r="Q18" s="13"/>
    </row>
    <row r="19" spans="1:17" ht="20.25" customHeight="1" x14ac:dyDescent="0.2">
      <c r="A19" s="12"/>
      <c r="B19" s="445" t="s">
        <v>792</v>
      </c>
      <c r="C19" s="1433"/>
      <c r="D19" s="1433"/>
      <c r="E19" s="1433"/>
      <c r="F19" s="1433"/>
      <c r="G19" s="13"/>
      <c r="H19" s="13"/>
      <c r="I19" s="13"/>
      <c r="J19" s="13"/>
      <c r="K19" s="13"/>
      <c r="L19" s="13"/>
      <c r="M19" s="13"/>
      <c r="N19" s="13"/>
      <c r="O19" s="13"/>
      <c r="P19" s="13"/>
      <c r="Q19" s="13"/>
    </row>
    <row r="20" spans="1:17" ht="18" customHeight="1" x14ac:dyDescent="0.2">
      <c r="A20" s="12"/>
      <c r="B20" s="447"/>
      <c r="C20" s="452"/>
      <c r="D20" s="453"/>
      <c r="E20" s="453"/>
      <c r="F20" s="453"/>
      <c r="G20" s="13"/>
      <c r="H20" s="13"/>
      <c r="I20" s="13"/>
      <c r="J20" s="13"/>
      <c r="K20" s="13"/>
      <c r="L20" s="13"/>
      <c r="M20" s="13"/>
      <c r="N20" s="13"/>
      <c r="O20" s="13"/>
      <c r="P20" s="13"/>
      <c r="Q20" s="13"/>
    </row>
    <row r="21" spans="1:17" ht="18" customHeight="1" x14ac:dyDescent="0.2">
      <c r="A21" s="1431" t="s">
        <v>789</v>
      </c>
      <c r="B21" s="1431"/>
      <c r="C21" s="1431"/>
      <c r="D21" s="1431"/>
      <c r="E21" s="1431"/>
      <c r="F21" s="1431"/>
      <c r="G21" s="1431"/>
      <c r="H21" s="1431"/>
      <c r="I21" s="1431"/>
      <c r="J21" s="1432"/>
      <c r="K21" s="13"/>
      <c r="L21" s="13"/>
      <c r="M21" s="13"/>
      <c r="N21" s="13"/>
      <c r="O21" s="13"/>
      <c r="P21" s="13"/>
      <c r="Q21" s="13"/>
    </row>
    <row r="22" spans="1:17" ht="15" customHeight="1" x14ac:dyDescent="0.2">
      <c r="A22" s="12"/>
      <c r="B22" s="447"/>
      <c r="C22" s="452"/>
      <c r="D22" s="453"/>
      <c r="E22" s="453"/>
      <c r="F22" s="453"/>
      <c r="G22" s="13"/>
      <c r="H22" s="13"/>
      <c r="I22" s="13"/>
      <c r="J22" s="13"/>
      <c r="K22" s="13"/>
      <c r="L22" s="13"/>
      <c r="M22" s="13"/>
      <c r="N22" s="13"/>
      <c r="O22" s="13"/>
      <c r="P22" s="13"/>
      <c r="Q22" s="13"/>
    </row>
    <row r="23" spans="1:17" ht="20.25" customHeight="1" x14ac:dyDescent="0.2">
      <c r="A23" s="12"/>
      <c r="B23" s="445" t="s">
        <v>741</v>
      </c>
      <c r="C23" s="1433"/>
      <c r="D23" s="1433"/>
      <c r="E23" s="1433"/>
      <c r="F23" s="1433"/>
      <c r="G23" s="152"/>
      <c r="H23" s="13"/>
      <c r="I23" s="13"/>
      <c r="J23" s="13"/>
      <c r="K23" s="13"/>
      <c r="L23" s="13"/>
      <c r="M23" s="13"/>
      <c r="N23" s="13"/>
      <c r="O23" s="13"/>
      <c r="P23" s="13"/>
      <c r="Q23" s="13"/>
    </row>
    <row r="24" spans="1:17" ht="20.25" customHeight="1" x14ac:dyDescent="0.2">
      <c r="A24" s="12"/>
      <c r="B24" s="445" t="s">
        <v>46</v>
      </c>
      <c r="C24" s="1433"/>
      <c r="D24" s="1433"/>
      <c r="E24" s="1433"/>
      <c r="F24" s="1433"/>
      <c r="G24" s="152"/>
      <c r="H24" s="13"/>
      <c r="I24" s="13"/>
      <c r="J24" s="13"/>
      <c r="K24" s="13"/>
      <c r="L24" s="13"/>
      <c r="M24" s="13"/>
      <c r="N24" s="13"/>
      <c r="O24" s="13"/>
      <c r="P24" s="13"/>
      <c r="Q24" s="13"/>
    </row>
    <row r="25" spans="1:17" ht="20.25" customHeight="1" x14ac:dyDescent="0.2">
      <c r="A25" s="12"/>
      <c r="B25" s="445" t="s">
        <v>680</v>
      </c>
      <c r="C25" s="1433"/>
      <c r="D25" s="1433"/>
      <c r="E25" s="1433"/>
      <c r="F25" s="1433"/>
      <c r="G25" s="152"/>
      <c r="H25" s="13"/>
      <c r="I25" s="13"/>
      <c r="J25" s="13"/>
      <c r="K25" s="13"/>
      <c r="L25" s="13"/>
      <c r="M25" s="13"/>
      <c r="N25" s="13"/>
      <c r="O25" s="13"/>
      <c r="P25" s="13"/>
      <c r="Q25" s="13"/>
    </row>
    <row r="26" spans="1:17" ht="20.25" customHeight="1" x14ac:dyDescent="0.2">
      <c r="A26" s="12"/>
      <c r="B26" s="1426" t="s">
        <v>780</v>
      </c>
      <c r="C26" s="1437" t="s">
        <v>49</v>
      </c>
      <c r="D26" s="1438"/>
      <c r="E26" s="1437" t="s">
        <v>781</v>
      </c>
      <c r="F26" s="1438"/>
      <c r="G26" s="13"/>
      <c r="H26" s="13"/>
      <c r="I26" s="13"/>
      <c r="J26" s="13"/>
      <c r="K26" s="13"/>
      <c r="L26" s="13"/>
      <c r="M26" s="13"/>
      <c r="N26" s="13"/>
      <c r="O26" s="13"/>
      <c r="P26" s="13"/>
      <c r="Q26" s="13"/>
    </row>
    <row r="27" spans="1:17" ht="20.25" customHeight="1" x14ac:dyDescent="0.2">
      <c r="A27" s="12"/>
      <c r="B27" s="1427"/>
      <c r="C27" s="1434" t="s">
        <v>62</v>
      </c>
      <c r="D27" s="1435"/>
      <c r="E27" s="1434"/>
      <c r="F27" s="1435"/>
      <c r="G27" s="13"/>
      <c r="H27" s="13"/>
      <c r="I27" s="13"/>
      <c r="J27" s="13"/>
      <c r="K27" s="13"/>
      <c r="L27" s="13"/>
      <c r="M27" s="13"/>
      <c r="N27" s="13"/>
      <c r="O27" s="13"/>
      <c r="P27" s="13"/>
      <c r="Q27" s="13"/>
    </row>
    <row r="28" spans="1:17" ht="20.25" customHeight="1" x14ac:dyDescent="0.2">
      <c r="A28" s="12"/>
      <c r="B28" s="1427"/>
      <c r="C28" s="1434" t="s">
        <v>62</v>
      </c>
      <c r="D28" s="1435"/>
      <c r="E28" s="462"/>
      <c r="F28" s="463"/>
      <c r="G28" s="13"/>
      <c r="H28" s="13"/>
      <c r="I28" s="13"/>
      <c r="J28" s="13"/>
      <c r="K28" s="13"/>
      <c r="L28" s="13"/>
      <c r="M28" s="13"/>
      <c r="N28" s="13"/>
      <c r="O28" s="13"/>
      <c r="P28" s="13"/>
      <c r="Q28" s="13"/>
    </row>
    <row r="29" spans="1:17" ht="20.25" customHeight="1" x14ac:dyDescent="0.2">
      <c r="A29" s="12"/>
      <c r="B29" s="1427"/>
      <c r="C29" s="1434" t="s">
        <v>62</v>
      </c>
      <c r="D29" s="1435"/>
      <c r="E29" s="1434"/>
      <c r="F29" s="1435"/>
      <c r="G29" s="13"/>
      <c r="H29" s="13"/>
      <c r="I29" s="13"/>
      <c r="J29" s="13"/>
      <c r="K29" s="13"/>
      <c r="L29" s="13"/>
      <c r="M29" s="13"/>
      <c r="N29" s="13"/>
      <c r="O29" s="13"/>
      <c r="P29" s="13"/>
      <c r="Q29" s="13"/>
    </row>
    <row r="30" spans="1:17" ht="20.25" customHeight="1" x14ac:dyDescent="0.2">
      <c r="A30" s="12"/>
      <c r="B30" s="1428"/>
      <c r="C30" s="1434" t="s">
        <v>62</v>
      </c>
      <c r="D30" s="1435"/>
      <c r="E30" s="1434"/>
      <c r="F30" s="1435"/>
      <c r="G30" s="13"/>
      <c r="H30" s="13"/>
      <c r="I30" s="13"/>
      <c r="J30" s="13"/>
      <c r="K30" s="13"/>
      <c r="L30" s="13"/>
      <c r="M30" s="13"/>
      <c r="N30" s="13"/>
      <c r="O30" s="13"/>
      <c r="P30" s="13"/>
      <c r="Q30" s="13"/>
    </row>
    <row r="31" spans="1:17" ht="18" customHeight="1" x14ac:dyDescent="0.2">
      <c r="A31" s="12"/>
      <c r="B31" s="447"/>
      <c r="C31" s="452"/>
      <c r="D31" s="453"/>
      <c r="E31" s="453"/>
      <c r="F31" s="453"/>
      <c r="G31" s="13"/>
      <c r="H31" s="13"/>
      <c r="I31" s="13"/>
      <c r="J31" s="13"/>
      <c r="K31" s="13"/>
      <c r="L31" s="13"/>
      <c r="M31" s="13"/>
      <c r="N31" s="13"/>
      <c r="O31" s="13"/>
      <c r="P31" s="13"/>
      <c r="Q31" s="13"/>
    </row>
    <row r="32" spans="1:17" ht="18" customHeight="1" x14ac:dyDescent="0.2">
      <c r="A32" s="1431" t="s">
        <v>782</v>
      </c>
      <c r="B32" s="1431"/>
      <c r="C32" s="1431"/>
      <c r="D32" s="1431"/>
      <c r="E32" s="1431"/>
      <c r="F32" s="1431"/>
      <c r="G32" s="1431"/>
      <c r="H32" s="1431"/>
      <c r="I32" s="1431"/>
      <c r="J32" s="1432"/>
      <c r="K32" s="13"/>
      <c r="L32" s="13"/>
      <c r="M32" s="13"/>
      <c r="N32" s="13"/>
      <c r="O32" s="13"/>
      <c r="P32" s="13"/>
      <c r="Q32" s="13"/>
    </row>
    <row r="33" spans="1:17" ht="15" customHeight="1" x14ac:dyDescent="0.2">
      <c r="A33" s="12"/>
      <c r="B33" s="12"/>
      <c r="C33" s="452"/>
      <c r="D33" s="453"/>
      <c r="E33" s="453"/>
      <c r="F33" s="453"/>
      <c r="G33" s="13"/>
      <c r="H33" s="13"/>
      <c r="I33" s="13"/>
      <c r="J33" s="13"/>
      <c r="K33" s="13"/>
      <c r="L33" s="13"/>
      <c r="M33" s="13"/>
      <c r="N33" s="13"/>
      <c r="O33" s="13"/>
      <c r="P33" s="13"/>
      <c r="Q33" s="13"/>
    </row>
    <row r="34" spans="1:17" ht="18" customHeight="1" x14ac:dyDescent="0.2">
      <c r="A34" s="12"/>
      <c r="B34" s="445" t="s">
        <v>1781</v>
      </c>
      <c r="C34" s="1433"/>
      <c r="D34" s="1433"/>
      <c r="E34" s="1433"/>
      <c r="F34" s="1433"/>
      <c r="G34" s="13"/>
      <c r="H34" s="13"/>
      <c r="I34" s="13"/>
      <c r="J34" s="13"/>
      <c r="K34" s="13"/>
      <c r="L34" s="13"/>
      <c r="M34" s="13"/>
      <c r="N34" s="13"/>
      <c r="O34" s="13"/>
      <c r="P34" s="13"/>
      <c r="Q34" s="13"/>
    </row>
    <row r="35" spans="1:17" ht="18" customHeight="1" x14ac:dyDescent="0.2">
      <c r="A35" s="12"/>
      <c r="B35" s="445" t="s">
        <v>783</v>
      </c>
      <c r="C35" s="1433"/>
      <c r="D35" s="1433"/>
      <c r="E35" s="1433"/>
      <c r="F35" s="1433"/>
      <c r="G35" s="13"/>
      <c r="H35" s="13"/>
      <c r="I35" s="13"/>
      <c r="J35" s="13"/>
      <c r="K35" s="13"/>
      <c r="L35" s="13"/>
      <c r="M35" s="13"/>
      <c r="N35" s="13"/>
      <c r="O35" s="13"/>
      <c r="P35" s="13"/>
      <c r="Q35" s="13"/>
    </row>
    <row r="36" spans="1:17" ht="18" customHeight="1" x14ac:dyDescent="0.2">
      <c r="A36" s="12"/>
      <c r="B36" s="445" t="s">
        <v>784</v>
      </c>
      <c r="C36" s="1433"/>
      <c r="D36" s="1433"/>
      <c r="E36" s="1433"/>
      <c r="F36" s="1433"/>
      <c r="G36" s="13"/>
      <c r="H36" s="13"/>
      <c r="I36" s="13"/>
      <c r="J36" s="13"/>
      <c r="K36" s="13"/>
      <c r="L36" s="13"/>
      <c r="M36" s="13"/>
      <c r="N36" s="13"/>
      <c r="O36" s="13"/>
      <c r="P36" s="13"/>
      <c r="Q36" s="13"/>
    </row>
    <row r="37" spans="1:17" ht="18" customHeight="1" x14ac:dyDescent="0.2">
      <c r="A37" s="12"/>
      <c r="B37" s="445" t="s">
        <v>785</v>
      </c>
      <c r="C37" s="1433"/>
      <c r="D37" s="1433"/>
      <c r="E37" s="1433"/>
      <c r="F37" s="1433"/>
      <c r="G37" s="13"/>
      <c r="H37" s="13"/>
      <c r="I37" s="13"/>
      <c r="J37" s="13"/>
      <c r="K37" s="13"/>
      <c r="L37" s="13"/>
      <c r="M37" s="13"/>
      <c r="N37" s="13"/>
      <c r="O37" s="13"/>
      <c r="P37" s="13"/>
      <c r="Q37" s="13"/>
    </row>
    <row r="38" spans="1:17" ht="18" customHeight="1" x14ac:dyDescent="0.2">
      <c r="A38" s="12"/>
      <c r="B38" s="445" t="s">
        <v>498</v>
      </c>
      <c r="C38" s="1433"/>
      <c r="D38" s="1433"/>
      <c r="E38" s="1433"/>
      <c r="F38" s="1433"/>
      <c r="G38" s="13"/>
      <c r="H38" s="13"/>
      <c r="I38" s="13"/>
      <c r="J38" s="13"/>
      <c r="K38" s="13"/>
      <c r="L38" s="13"/>
      <c r="M38" s="13"/>
      <c r="N38" s="13"/>
      <c r="O38" s="13"/>
      <c r="P38" s="13"/>
      <c r="Q38" s="13"/>
    </row>
    <row r="39" spans="1:17" ht="18" customHeight="1" x14ac:dyDescent="0.2">
      <c r="A39" s="12"/>
      <c r="B39" s="445" t="s">
        <v>786</v>
      </c>
      <c r="C39" s="1433"/>
      <c r="D39" s="1433"/>
      <c r="E39" s="1433"/>
      <c r="F39" s="1433"/>
      <c r="G39" s="13"/>
      <c r="H39" s="13"/>
      <c r="I39" s="13"/>
      <c r="J39" s="13"/>
      <c r="K39" s="13"/>
      <c r="L39" s="13"/>
      <c r="M39" s="13"/>
      <c r="N39" s="13"/>
      <c r="O39" s="13"/>
      <c r="P39" s="13"/>
      <c r="Q39" s="13"/>
    </row>
    <row r="40" spans="1:17" ht="18" customHeight="1" x14ac:dyDescent="0.2">
      <c r="A40" s="12"/>
      <c r="B40" s="445" t="s">
        <v>786</v>
      </c>
      <c r="C40" s="1433"/>
      <c r="D40" s="1433"/>
      <c r="E40" s="1433"/>
      <c r="F40" s="1433"/>
      <c r="G40" s="13"/>
      <c r="H40" s="13"/>
      <c r="I40" s="13"/>
      <c r="J40" s="13"/>
      <c r="K40" s="13"/>
      <c r="L40" s="13"/>
      <c r="M40" s="13"/>
      <c r="N40" s="13"/>
      <c r="O40" s="13"/>
      <c r="P40" s="13"/>
      <c r="Q40" s="13"/>
    </row>
    <row r="41" spans="1:17" ht="18" customHeight="1" x14ac:dyDescent="0.2">
      <c r="A41" s="12"/>
      <c r="B41" s="12"/>
      <c r="C41" s="452"/>
      <c r="D41" s="453"/>
      <c r="E41" s="453"/>
      <c r="F41" s="453"/>
      <c r="G41" s="13"/>
      <c r="H41" s="13"/>
      <c r="I41" s="13"/>
      <c r="J41" s="13"/>
      <c r="K41" s="13"/>
      <c r="L41" s="13"/>
      <c r="M41" s="13"/>
      <c r="N41" s="13"/>
      <c r="O41" s="13"/>
      <c r="P41" s="13"/>
      <c r="Q41" s="13"/>
    </row>
    <row r="42" spans="1:17" ht="16.5" hidden="1" customHeight="1" x14ac:dyDescent="0.2">
      <c r="A42" s="1431" t="s">
        <v>790</v>
      </c>
      <c r="B42" s="1431"/>
      <c r="C42" s="1431"/>
      <c r="D42" s="1431"/>
      <c r="E42" s="1431"/>
      <c r="F42" s="1431"/>
      <c r="G42" s="1431"/>
      <c r="H42" s="1431"/>
      <c r="I42" s="1431"/>
      <c r="J42" s="1432"/>
    </row>
    <row r="43" spans="1:17" hidden="1" x14ac:dyDescent="0.2">
      <c r="A43" s="14"/>
      <c r="B43" s="16"/>
      <c r="C43" s="16"/>
      <c r="D43" s="16"/>
      <c r="E43" s="16"/>
      <c r="F43" s="16"/>
      <c r="G43" s="16"/>
      <c r="H43" s="16"/>
      <c r="I43" s="16"/>
      <c r="J43" s="15"/>
    </row>
    <row r="44" spans="1:17" ht="21" hidden="1" customHeight="1" x14ac:dyDescent="0.2">
      <c r="A44" s="15"/>
      <c r="B44" s="1439" t="s">
        <v>681</v>
      </c>
      <c r="C44" s="1440"/>
      <c r="D44" s="1440"/>
      <c r="E44" s="1441"/>
      <c r="F44" s="435" t="s">
        <v>62</v>
      </c>
      <c r="G44" s="16"/>
      <c r="H44" s="16"/>
      <c r="I44" s="15"/>
      <c r="J44" s="15"/>
    </row>
    <row r="45" spans="1:17" ht="21" hidden="1" customHeight="1" x14ac:dyDescent="0.2">
      <c r="A45" s="15"/>
      <c r="B45" s="1439" t="s">
        <v>682</v>
      </c>
      <c r="C45" s="1440"/>
      <c r="D45" s="1440"/>
      <c r="E45" s="1441"/>
      <c r="F45" s="435" t="s">
        <v>62</v>
      </c>
      <c r="G45" s="16"/>
      <c r="H45" s="16"/>
      <c r="I45" s="15"/>
      <c r="J45" s="15"/>
    </row>
    <row r="46" spans="1:17" ht="21" hidden="1" customHeight="1" x14ac:dyDescent="0.2">
      <c r="A46" s="15"/>
      <c r="B46" s="1439" t="s">
        <v>683</v>
      </c>
      <c r="C46" s="1440"/>
      <c r="D46" s="1440"/>
      <c r="E46" s="1441"/>
      <c r="F46" s="435" t="s">
        <v>62</v>
      </c>
      <c r="G46" s="16"/>
      <c r="H46" s="16"/>
      <c r="I46" s="15"/>
      <c r="J46" s="15"/>
    </row>
    <row r="47" spans="1:17" ht="30.75" hidden="1" customHeight="1" x14ac:dyDescent="0.2">
      <c r="A47" s="15"/>
      <c r="B47" s="1439" t="s">
        <v>684</v>
      </c>
      <c r="C47" s="1440"/>
      <c r="D47" s="1440"/>
      <c r="E47" s="1441"/>
      <c r="F47" s="435" t="s">
        <v>62</v>
      </c>
      <c r="G47" s="16"/>
      <c r="H47" s="16"/>
      <c r="I47" s="15"/>
      <c r="J47" s="15"/>
    </row>
    <row r="48" spans="1:17" hidden="1" x14ac:dyDescent="0.2">
      <c r="A48" s="15"/>
      <c r="B48" s="17"/>
      <c r="C48" s="15"/>
      <c r="D48" s="15"/>
      <c r="E48" s="15"/>
      <c r="F48" s="15"/>
      <c r="G48" s="15"/>
      <c r="H48" s="16"/>
      <c r="I48" s="15"/>
      <c r="J48" s="15"/>
    </row>
    <row r="49" spans="1:10" ht="16.5" customHeight="1" x14ac:dyDescent="0.2">
      <c r="A49" s="1431" t="s">
        <v>793</v>
      </c>
      <c r="B49" s="1431"/>
      <c r="C49" s="1431"/>
      <c r="D49" s="1431"/>
      <c r="E49" s="1431"/>
      <c r="F49" s="1431"/>
      <c r="G49" s="1431"/>
      <c r="H49" s="1431"/>
      <c r="I49" s="1431"/>
      <c r="J49" s="1432"/>
    </row>
    <row r="50" spans="1:10" x14ac:dyDescent="0.2">
      <c r="A50" s="15"/>
      <c r="B50" s="17"/>
      <c r="C50" s="15"/>
      <c r="D50" s="15"/>
      <c r="E50" s="15"/>
      <c r="F50" s="15"/>
      <c r="G50" s="15"/>
      <c r="H50" s="16"/>
      <c r="I50" s="15"/>
      <c r="J50" s="15"/>
    </row>
    <row r="51" spans="1:10" ht="116.25" customHeight="1" x14ac:dyDescent="0.2">
      <c r="A51" s="15"/>
      <c r="B51" s="445" t="s">
        <v>794</v>
      </c>
      <c r="C51" s="1423"/>
      <c r="D51" s="1424"/>
      <c r="E51" s="1424"/>
      <c r="F51" s="1424"/>
      <c r="G51" s="1424"/>
      <c r="H51" s="1424"/>
      <c r="I51" s="1425"/>
      <c r="J51" s="15"/>
    </row>
    <row r="52" spans="1:10" x14ac:dyDescent="0.2">
      <c r="A52" s="15"/>
      <c r="B52" s="17"/>
      <c r="C52" s="15"/>
      <c r="D52" s="15"/>
      <c r="E52" s="15"/>
      <c r="F52" s="15"/>
      <c r="G52" s="15"/>
      <c r="H52" s="16"/>
      <c r="I52" s="15"/>
      <c r="J52" s="15"/>
    </row>
    <row r="53" spans="1:10" hidden="1" x14ac:dyDescent="0.2"/>
    <row r="54" spans="1:10" hidden="1" x14ac:dyDescent="0.2"/>
    <row r="55" spans="1:10" hidden="1" x14ac:dyDescent="0.2"/>
    <row r="56" spans="1:10" hidden="1" x14ac:dyDescent="0.2"/>
    <row r="57" spans="1:10" hidden="1" x14ac:dyDescent="0.2"/>
    <row r="58" spans="1:10" hidden="1" x14ac:dyDescent="0.2"/>
    <row r="59" spans="1:10" hidden="1" x14ac:dyDescent="0.2"/>
    <row r="60" spans="1:10" hidden="1" x14ac:dyDescent="0.2"/>
    <row r="61" spans="1:10" hidden="1" x14ac:dyDescent="0.2"/>
    <row r="62" spans="1:10" hidden="1" x14ac:dyDescent="0.2"/>
    <row r="63" spans="1:10" hidden="1" x14ac:dyDescent="0.2"/>
    <row r="64" spans="1:10"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sheetData>
  <sheetProtection algorithmName="SHA-512" hashValue="GMEdiIPphPlgdMapfx4Pm7MEjIBnGv37MXQm1AoyL/XolJWZYwqYj126Xw1gHB7vTR7lwevNxWC88V3hxst3uw==" saltValue="TPBlScGwaFkRIsMFhgL8Ew==" spinCount="100000" sheet="1" objects="1" scenarios="1"/>
  <mergeCells count="41">
    <mergeCell ref="A32:J32"/>
    <mergeCell ref="A42:J42"/>
    <mergeCell ref="A49:J49"/>
    <mergeCell ref="B44:E44"/>
    <mergeCell ref="B45:E45"/>
    <mergeCell ref="B46:E46"/>
    <mergeCell ref="C34:F34"/>
    <mergeCell ref="C35:F35"/>
    <mergeCell ref="C36:F36"/>
    <mergeCell ref="C37:F37"/>
    <mergeCell ref="C39:F39"/>
    <mergeCell ref="B47:E47"/>
    <mergeCell ref="C38:F38"/>
    <mergeCell ref="C40:F40"/>
    <mergeCell ref="C29:D29"/>
    <mergeCell ref="E29:F29"/>
    <mergeCell ref="C30:D30"/>
    <mergeCell ref="E30:F30"/>
    <mergeCell ref="C7:F7"/>
    <mergeCell ref="C11:F11"/>
    <mergeCell ref="C12:F12"/>
    <mergeCell ref="C13:F13"/>
    <mergeCell ref="C26:D26"/>
    <mergeCell ref="E26:F26"/>
    <mergeCell ref="C14:F14"/>
    <mergeCell ref="C51:I51"/>
    <mergeCell ref="A1:J1"/>
    <mergeCell ref="B26:B30"/>
    <mergeCell ref="A2:J3"/>
    <mergeCell ref="A9:J9"/>
    <mergeCell ref="A16:J16"/>
    <mergeCell ref="C25:F25"/>
    <mergeCell ref="C18:F18"/>
    <mergeCell ref="C24:F24"/>
    <mergeCell ref="A21:J21"/>
    <mergeCell ref="C28:D28"/>
    <mergeCell ref="C23:F23"/>
    <mergeCell ref="C19:F19"/>
    <mergeCell ref="A5:J5"/>
    <mergeCell ref="C27:D27"/>
    <mergeCell ref="E27:F27"/>
  </mergeCells>
  <dataValidations count="4">
    <dataValidation allowBlank="1" showInputMessage="1" showErrorMessage="1" prompt="The sum of the floor areas of a project space at all floor levels. Garages are not to be included as GFA." sqref="B23"/>
    <dataValidation type="list" allowBlank="1" showInputMessage="1" showErrorMessage="1" sqref="F44:F47">
      <formula1>"Select,Yes,No"</formula1>
    </dataValidation>
    <dataValidation type="list" allowBlank="1" showInputMessage="1" showErrorMessage="1" sqref="C7:F7">
      <formula1>"Select,Provisional Certification stage, Full Certification stage"</formula1>
    </dataValidation>
    <dataValidation type="list" allowBlank="1" showInputMessage="1" showErrorMessage="1" sqref="C27:D30">
      <formula1>"Select,Office,Retail,Residential,Hotel,Restaurant,Education,Healthcare,Industrial,Other"</formula1>
    </dataValidation>
  </dataValidation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100"/>
  <sheetViews>
    <sheetView showRowColHeaders="0" zoomScaleNormal="100" workbookViewId="0">
      <pane ySplit="3" topLeftCell="A4" activePane="bottomLeft" state="frozen"/>
      <selection pane="bottomLeft" activeCell="E66" sqref="E66"/>
    </sheetView>
  </sheetViews>
  <sheetFormatPr defaultColWidth="0" defaultRowHeight="15" customHeight="1" zeroHeight="1" x14ac:dyDescent="0.25"/>
  <cols>
    <col min="1" max="1" width="4.7109375" style="37" customWidth="1"/>
    <col min="2" max="3" width="16.7109375" style="37" customWidth="1"/>
    <col min="4" max="4" width="14" style="37" customWidth="1"/>
    <col min="5" max="6" width="7.42578125" style="37" customWidth="1"/>
    <col min="7" max="7" width="14" style="37" customWidth="1"/>
    <col min="8" max="8" width="4.7109375" style="37" customWidth="1"/>
    <col min="9" max="10" width="9.140625" style="37" hidden="1" customWidth="1"/>
    <col min="11" max="12" width="0" style="37" hidden="1" customWidth="1"/>
    <col min="13" max="16384" width="9.140625" style="37" hidden="1"/>
  </cols>
  <sheetData>
    <row r="1" spans="1:10" ht="36" customHeight="1" x14ac:dyDescent="0.5">
      <c r="A1" s="1530" t="s">
        <v>1462</v>
      </c>
      <c r="B1" s="1530"/>
      <c r="C1" s="1530"/>
      <c r="D1" s="1530"/>
      <c r="E1" s="1530"/>
      <c r="F1" s="1530"/>
      <c r="G1" s="907"/>
      <c r="H1" s="36"/>
      <c r="I1" s="36"/>
      <c r="J1" s="36"/>
    </row>
    <row r="2" spans="1:10" ht="30" customHeight="1" x14ac:dyDescent="0.25">
      <c r="A2" s="908"/>
      <c r="B2" s="36"/>
      <c r="C2" s="36"/>
      <c r="D2" s="36"/>
      <c r="E2" s="36"/>
      <c r="F2" s="36"/>
      <c r="G2" s="36"/>
      <c r="H2" s="36"/>
      <c r="I2" s="36"/>
      <c r="J2" s="36"/>
    </row>
    <row r="3" spans="1:10" ht="31.5" customHeight="1" x14ac:dyDescent="0.25">
      <c r="A3" s="1531" t="s">
        <v>1503</v>
      </c>
      <c r="B3" s="1532"/>
      <c r="C3" s="1532"/>
      <c r="D3" s="1532"/>
      <c r="E3" s="1532"/>
      <c r="F3" s="1532"/>
      <c r="G3" s="36"/>
      <c r="H3" s="36"/>
      <c r="I3" s="36"/>
      <c r="J3" s="36"/>
    </row>
    <row r="4" spans="1:10" ht="27" customHeight="1" thickBot="1" x14ac:dyDescent="0.3">
      <c r="A4" s="36"/>
      <c r="B4" s="36"/>
      <c r="C4" s="36"/>
      <c r="D4" s="36"/>
      <c r="E4" s="36"/>
      <c r="F4" s="36"/>
      <c r="G4" s="36"/>
      <c r="H4" s="36"/>
      <c r="I4" s="36"/>
      <c r="J4" s="36"/>
    </row>
    <row r="5" spans="1:10" ht="27" customHeight="1" thickBot="1" x14ac:dyDescent="0.3">
      <c r="A5" s="36"/>
      <c r="B5" s="1466" t="s">
        <v>1463</v>
      </c>
      <c r="C5" s="1467"/>
      <c r="D5" s="1467"/>
      <c r="E5" s="1467"/>
      <c r="F5" s="1467"/>
      <c r="G5" s="1468"/>
      <c r="H5" s="36"/>
      <c r="I5" s="36"/>
      <c r="J5" s="36"/>
    </row>
    <row r="6" spans="1:10" ht="27" customHeight="1" x14ac:dyDescent="0.25">
      <c r="A6" s="36"/>
      <c r="B6" s="1473" t="s">
        <v>1464</v>
      </c>
      <c r="C6" s="1533"/>
      <c r="D6" s="1500"/>
      <c r="E6" s="1500"/>
      <c r="F6" s="1500"/>
      <c r="G6" s="1501"/>
      <c r="H6" s="36"/>
      <c r="I6" s="36"/>
      <c r="J6" s="36"/>
    </row>
    <row r="7" spans="1:10" ht="36" customHeight="1" x14ac:dyDescent="0.25">
      <c r="A7" s="36"/>
      <c r="B7" s="1528" t="s">
        <v>1465</v>
      </c>
      <c r="C7" s="1529"/>
      <c r="D7" s="1511"/>
      <c r="E7" s="1511"/>
      <c r="F7" s="1511"/>
      <c r="G7" s="1512"/>
      <c r="H7" s="36"/>
      <c r="I7" s="36"/>
      <c r="J7" s="36"/>
    </row>
    <row r="8" spans="1:10" ht="27" customHeight="1" x14ac:dyDescent="0.25">
      <c r="A8" s="36"/>
      <c r="B8" s="1482" t="s">
        <v>924</v>
      </c>
      <c r="C8" s="1483"/>
      <c r="D8" s="1516"/>
      <c r="E8" s="1517"/>
      <c r="F8" s="1517"/>
      <c r="G8" s="1518"/>
      <c r="H8" s="36"/>
      <c r="I8" s="36"/>
      <c r="J8" s="36"/>
    </row>
    <row r="9" spans="1:10" ht="24" customHeight="1" x14ac:dyDescent="0.25">
      <c r="A9" s="36"/>
      <c r="B9" s="1494" t="s">
        <v>1466</v>
      </c>
      <c r="C9" s="1519"/>
      <c r="D9" s="1520"/>
      <c r="E9" s="1521"/>
      <c r="F9" s="1521"/>
      <c r="G9" s="1522"/>
      <c r="H9" s="36"/>
      <c r="I9" s="36"/>
      <c r="J9" s="36"/>
    </row>
    <row r="10" spans="1:10" ht="24" customHeight="1" x14ac:dyDescent="0.25">
      <c r="A10" s="36"/>
      <c r="B10" s="1486"/>
      <c r="C10" s="1487"/>
      <c r="D10" s="1523"/>
      <c r="E10" s="1524"/>
      <c r="F10" s="1524"/>
      <c r="G10" s="1525"/>
      <c r="H10" s="36"/>
      <c r="I10" s="36"/>
      <c r="J10" s="36"/>
    </row>
    <row r="11" spans="1:10" ht="21" customHeight="1" x14ac:dyDescent="0.25">
      <c r="A11" s="36"/>
      <c r="B11" s="1494" t="s">
        <v>1467</v>
      </c>
      <c r="C11" s="1519"/>
      <c r="D11" s="1526"/>
      <c r="E11" s="1508"/>
      <c r="F11" s="1508"/>
      <c r="G11" s="1509"/>
      <c r="H11" s="36"/>
      <c r="I11" s="36"/>
      <c r="J11" s="36"/>
    </row>
    <row r="12" spans="1:10" ht="21" customHeight="1" x14ac:dyDescent="0.25">
      <c r="A12" s="36"/>
      <c r="B12" s="1486"/>
      <c r="C12" s="1487"/>
      <c r="D12" s="1527"/>
      <c r="E12" s="1514"/>
      <c r="F12" s="1514"/>
      <c r="G12" s="1515"/>
      <c r="H12" s="36"/>
      <c r="I12" s="36"/>
      <c r="J12" s="36"/>
    </row>
    <row r="13" spans="1:10" ht="27" customHeight="1" x14ac:dyDescent="0.25">
      <c r="A13" s="36"/>
      <c r="B13" s="1486" t="s">
        <v>1468</v>
      </c>
      <c r="C13" s="1487"/>
      <c r="D13" s="1502"/>
      <c r="E13" s="1503"/>
      <c r="F13" s="1503"/>
      <c r="G13" s="1504"/>
      <c r="H13" s="36"/>
      <c r="I13" s="36"/>
      <c r="J13" s="36"/>
    </row>
    <row r="14" spans="1:10" ht="33" customHeight="1" x14ac:dyDescent="0.25">
      <c r="A14" s="36"/>
      <c r="B14" s="1482" t="s">
        <v>1469</v>
      </c>
      <c r="C14" s="1505"/>
      <c r="D14" s="1505"/>
      <c r="E14" s="1505"/>
      <c r="F14" s="1505"/>
      <c r="G14" s="1506"/>
      <c r="H14" s="36"/>
      <c r="I14" s="36"/>
      <c r="J14" s="36"/>
    </row>
    <row r="15" spans="1:10" x14ac:dyDescent="0.25">
      <c r="A15" s="36"/>
      <c r="B15" s="1507"/>
      <c r="C15" s="1508"/>
      <c r="D15" s="1508"/>
      <c r="E15" s="1508"/>
      <c r="F15" s="1508"/>
      <c r="G15" s="1509"/>
      <c r="H15" s="36"/>
      <c r="I15" s="36"/>
      <c r="J15" s="36"/>
    </row>
    <row r="16" spans="1:10" x14ac:dyDescent="0.25">
      <c r="A16" s="36"/>
      <c r="B16" s="1510"/>
      <c r="C16" s="1511"/>
      <c r="D16" s="1511"/>
      <c r="E16" s="1511"/>
      <c r="F16" s="1511"/>
      <c r="G16" s="1512"/>
      <c r="H16" s="36"/>
      <c r="I16" s="36"/>
      <c r="J16" s="36"/>
    </row>
    <row r="17" spans="1:10" x14ac:dyDescent="0.25">
      <c r="A17" s="36"/>
      <c r="B17" s="1510"/>
      <c r="C17" s="1511"/>
      <c r="D17" s="1511"/>
      <c r="E17" s="1511"/>
      <c r="F17" s="1511"/>
      <c r="G17" s="1512"/>
      <c r="H17" s="36"/>
      <c r="I17" s="36"/>
      <c r="J17" s="36"/>
    </row>
    <row r="18" spans="1:10" x14ac:dyDescent="0.25">
      <c r="A18" s="36"/>
      <c r="B18" s="1510"/>
      <c r="C18" s="1511"/>
      <c r="D18" s="1511"/>
      <c r="E18" s="1511"/>
      <c r="F18" s="1511"/>
      <c r="G18" s="1512"/>
      <c r="H18" s="36"/>
      <c r="I18" s="36"/>
      <c r="J18" s="36"/>
    </row>
    <row r="19" spans="1:10" x14ac:dyDescent="0.25">
      <c r="A19" s="36"/>
      <c r="B19" s="1510"/>
      <c r="C19" s="1511"/>
      <c r="D19" s="1511"/>
      <c r="E19" s="1511"/>
      <c r="F19" s="1511"/>
      <c r="G19" s="1512"/>
      <c r="H19" s="36"/>
      <c r="I19" s="36"/>
      <c r="J19" s="36"/>
    </row>
    <row r="20" spans="1:10" x14ac:dyDescent="0.25">
      <c r="A20" s="36"/>
      <c r="B20" s="1510"/>
      <c r="C20" s="1511"/>
      <c r="D20" s="1511"/>
      <c r="E20" s="1511"/>
      <c r="F20" s="1511"/>
      <c r="G20" s="1512"/>
      <c r="H20" s="36"/>
      <c r="I20" s="36"/>
      <c r="J20" s="36"/>
    </row>
    <row r="21" spans="1:10" x14ac:dyDescent="0.25">
      <c r="A21" s="36"/>
      <c r="B21" s="1510"/>
      <c r="C21" s="1511"/>
      <c r="D21" s="1511"/>
      <c r="E21" s="1511"/>
      <c r="F21" s="1511"/>
      <c r="G21" s="1512"/>
      <c r="H21" s="36"/>
      <c r="I21" s="36"/>
      <c r="J21" s="36"/>
    </row>
    <row r="22" spans="1:10" x14ac:dyDescent="0.25">
      <c r="A22" s="36"/>
      <c r="B22" s="1513"/>
      <c r="C22" s="1514"/>
      <c r="D22" s="1514"/>
      <c r="E22" s="1514"/>
      <c r="F22" s="1514"/>
      <c r="G22" s="1515"/>
      <c r="H22" s="36"/>
      <c r="I22" s="36"/>
      <c r="J22" s="36"/>
    </row>
    <row r="23" spans="1:10" ht="27" customHeight="1" x14ac:dyDescent="0.25">
      <c r="A23" s="36"/>
      <c r="B23" s="1482" t="s">
        <v>1470</v>
      </c>
      <c r="C23" s="1483"/>
      <c r="D23" s="1484"/>
      <c r="E23" s="1484"/>
      <c r="F23" s="1484"/>
      <c r="G23" s="1485"/>
      <c r="H23" s="36"/>
      <c r="I23" s="36"/>
      <c r="J23" s="36"/>
    </row>
    <row r="24" spans="1:10" ht="27" customHeight="1" x14ac:dyDescent="0.25">
      <c r="A24" s="36"/>
      <c r="B24" s="1486" t="s">
        <v>1471</v>
      </c>
      <c r="C24" s="1487"/>
      <c r="D24" s="1488"/>
      <c r="E24" s="1489"/>
      <c r="F24" s="1489"/>
      <c r="G24" s="1490"/>
      <c r="H24" s="36"/>
      <c r="I24" s="36"/>
      <c r="J24" s="36"/>
    </row>
    <row r="25" spans="1:10" ht="27" customHeight="1" x14ac:dyDescent="0.25">
      <c r="A25" s="36"/>
      <c r="B25" s="1482" t="s">
        <v>1472</v>
      </c>
      <c r="C25" s="1483"/>
      <c r="D25" s="1491" t="s">
        <v>62</v>
      </c>
      <c r="E25" s="1492"/>
      <c r="F25" s="1492"/>
      <c r="G25" s="1493"/>
      <c r="H25" s="36"/>
      <c r="I25" s="36"/>
      <c r="J25" s="36"/>
    </row>
    <row r="26" spans="1:10" ht="27" customHeight="1" thickBot="1" x14ac:dyDescent="0.3">
      <c r="A26" s="36"/>
      <c r="B26" s="1494" t="s">
        <v>1473</v>
      </c>
      <c r="C26" s="1495"/>
      <c r="D26" s="1496" t="s">
        <v>62</v>
      </c>
      <c r="E26" s="1497"/>
      <c r="F26" s="1497"/>
      <c r="G26" s="1498"/>
      <c r="H26" s="36"/>
      <c r="I26" s="36"/>
      <c r="J26" s="36"/>
    </row>
    <row r="27" spans="1:10" ht="21" customHeight="1" thickBot="1" x14ac:dyDescent="0.3">
      <c r="A27" s="36"/>
      <c r="B27" s="36"/>
      <c r="C27" s="36"/>
      <c r="D27" s="36"/>
      <c r="E27" s="36"/>
      <c r="F27" s="36"/>
      <c r="G27" s="36"/>
      <c r="H27" s="36"/>
      <c r="I27" s="36"/>
      <c r="J27" s="36"/>
    </row>
    <row r="28" spans="1:10" ht="24" customHeight="1" thickBot="1" x14ac:dyDescent="0.3">
      <c r="A28" s="36"/>
      <c r="B28" s="1466" t="s">
        <v>1474</v>
      </c>
      <c r="C28" s="1467"/>
      <c r="D28" s="1467"/>
      <c r="E28" s="1467"/>
      <c r="F28" s="1467"/>
      <c r="G28" s="1468"/>
      <c r="H28" s="36"/>
      <c r="I28" s="36"/>
      <c r="J28" s="36"/>
    </row>
    <row r="29" spans="1:10" ht="21" customHeight="1" x14ac:dyDescent="0.25">
      <c r="A29" s="36"/>
      <c r="B29" s="1473" t="s">
        <v>1475</v>
      </c>
      <c r="C29" s="1474"/>
      <c r="D29" s="1499"/>
      <c r="E29" s="1500"/>
      <c r="F29" s="1500"/>
      <c r="G29" s="1501"/>
      <c r="H29" s="36"/>
      <c r="I29" s="36"/>
      <c r="J29" s="36"/>
    </row>
    <row r="30" spans="1:10" ht="33" customHeight="1" x14ac:dyDescent="0.25">
      <c r="A30" s="36"/>
      <c r="B30" s="1458" t="s">
        <v>1476</v>
      </c>
      <c r="C30" s="1458"/>
      <c r="D30" s="1481"/>
      <c r="E30" s="1481"/>
      <c r="F30" s="1481"/>
      <c r="G30" s="1481"/>
      <c r="H30" s="36"/>
      <c r="I30" s="36"/>
      <c r="J30" s="36"/>
    </row>
    <row r="31" spans="1:10" ht="21" customHeight="1" x14ac:dyDescent="0.25">
      <c r="A31" s="36"/>
      <c r="B31" s="1458" t="s">
        <v>1477</v>
      </c>
      <c r="C31" s="1458"/>
      <c r="D31" s="1459"/>
      <c r="E31" s="1459"/>
      <c r="F31" s="1459"/>
      <c r="G31" s="1459"/>
      <c r="H31" s="36"/>
      <c r="I31" s="36"/>
      <c r="J31" s="36"/>
    </row>
    <row r="32" spans="1:10" ht="21" customHeight="1" x14ac:dyDescent="0.25">
      <c r="A32" s="36"/>
      <c r="B32" s="1458" t="s">
        <v>1478</v>
      </c>
      <c r="C32" s="1458"/>
      <c r="D32" s="1459"/>
      <c r="E32" s="1459"/>
      <c r="F32" s="1459"/>
      <c r="G32" s="1459"/>
      <c r="H32" s="36"/>
      <c r="I32" s="36"/>
      <c r="J32" s="36"/>
    </row>
    <row r="33" spans="1:10" ht="21" customHeight="1" x14ac:dyDescent="0.25">
      <c r="A33" s="36"/>
      <c r="B33" s="1458" t="s">
        <v>1479</v>
      </c>
      <c r="C33" s="1458"/>
      <c r="D33" s="1459"/>
      <c r="E33" s="1459"/>
      <c r="F33" s="1459"/>
      <c r="G33" s="1459"/>
      <c r="H33" s="36"/>
      <c r="I33" s="36"/>
      <c r="J33" s="36"/>
    </row>
    <row r="34" spans="1:10" ht="13.5" customHeight="1" x14ac:dyDescent="0.25">
      <c r="A34" s="36"/>
      <c r="B34" s="36"/>
      <c r="C34" s="36"/>
      <c r="D34" s="36"/>
      <c r="E34" s="36"/>
      <c r="F34" s="36"/>
      <c r="G34" s="36"/>
      <c r="H34" s="36"/>
      <c r="I34" s="36"/>
      <c r="J34" s="36"/>
    </row>
    <row r="35" spans="1:10" ht="13.5" customHeight="1" thickBot="1" x14ac:dyDescent="0.3">
      <c r="A35" s="36"/>
      <c r="B35" s="36"/>
      <c r="C35" s="36"/>
      <c r="D35" s="36"/>
      <c r="E35" s="36"/>
      <c r="F35" s="36"/>
      <c r="G35" s="36"/>
      <c r="H35" s="36"/>
      <c r="I35" s="36"/>
      <c r="J35" s="36"/>
    </row>
    <row r="36" spans="1:10" ht="24" customHeight="1" thickBot="1" x14ac:dyDescent="0.3">
      <c r="A36" s="36"/>
      <c r="B36" s="1466" t="s">
        <v>1480</v>
      </c>
      <c r="C36" s="1467"/>
      <c r="D36" s="1467"/>
      <c r="E36" s="1467"/>
      <c r="F36" s="1467"/>
      <c r="G36" s="1468"/>
      <c r="H36" s="36"/>
      <c r="I36" s="36"/>
      <c r="J36" s="36"/>
    </row>
    <row r="37" spans="1:10" ht="21" customHeight="1" x14ac:dyDescent="0.25">
      <c r="A37" s="36"/>
      <c r="B37" s="1473" t="s">
        <v>1475</v>
      </c>
      <c r="C37" s="1474"/>
      <c r="D37" s="1478"/>
      <c r="E37" s="1479"/>
      <c r="F37" s="1479"/>
      <c r="G37" s="1480"/>
      <c r="H37" s="36"/>
      <c r="I37" s="36"/>
      <c r="J37" s="36"/>
    </row>
    <row r="38" spans="1:10" ht="21" customHeight="1" x14ac:dyDescent="0.25">
      <c r="A38" s="36"/>
      <c r="B38" s="1458" t="s">
        <v>225</v>
      </c>
      <c r="C38" s="1458"/>
      <c r="D38" s="1460"/>
      <c r="E38" s="1460"/>
      <c r="F38" s="1460"/>
      <c r="G38" s="1460"/>
      <c r="H38" s="36"/>
      <c r="I38" s="36"/>
      <c r="J38" s="36"/>
    </row>
    <row r="39" spans="1:10" ht="21" customHeight="1" x14ac:dyDescent="0.25">
      <c r="A39" s="36"/>
      <c r="B39" s="1458" t="s">
        <v>1481</v>
      </c>
      <c r="C39" s="1458"/>
      <c r="D39" s="1460"/>
      <c r="E39" s="1460"/>
      <c r="F39" s="1460"/>
      <c r="G39" s="1460"/>
      <c r="H39" s="36"/>
      <c r="I39" s="36"/>
      <c r="J39" s="36"/>
    </row>
    <row r="40" spans="1:10" ht="33" customHeight="1" x14ac:dyDescent="0.25">
      <c r="A40" s="36"/>
      <c r="B40" s="1458" t="s">
        <v>1476</v>
      </c>
      <c r="C40" s="1458"/>
      <c r="D40" s="1460"/>
      <c r="E40" s="1460"/>
      <c r="F40" s="1460"/>
      <c r="G40" s="1460"/>
      <c r="H40" s="36"/>
      <c r="I40" s="36"/>
      <c r="J40" s="36"/>
    </row>
    <row r="41" spans="1:10" ht="21" customHeight="1" x14ac:dyDescent="0.25">
      <c r="A41" s="36"/>
      <c r="B41" s="1458" t="s">
        <v>1477</v>
      </c>
      <c r="C41" s="1458"/>
      <c r="D41" s="1460"/>
      <c r="E41" s="1460"/>
      <c r="F41" s="1460"/>
      <c r="G41" s="1460"/>
      <c r="H41" s="36"/>
      <c r="I41" s="36"/>
      <c r="J41" s="36"/>
    </row>
    <row r="42" spans="1:10" ht="21" customHeight="1" x14ac:dyDescent="0.25">
      <c r="A42" s="36"/>
      <c r="B42" s="1458" t="s">
        <v>1478</v>
      </c>
      <c r="C42" s="1458"/>
      <c r="D42" s="1460"/>
      <c r="E42" s="1460"/>
      <c r="F42" s="1460"/>
      <c r="G42" s="1460"/>
      <c r="H42" s="36"/>
      <c r="I42" s="36"/>
      <c r="J42" s="36"/>
    </row>
    <row r="43" spans="1:10" ht="21" customHeight="1" x14ac:dyDescent="0.25">
      <c r="A43" s="36"/>
      <c r="B43" s="1458" t="s">
        <v>1479</v>
      </c>
      <c r="C43" s="1458"/>
      <c r="D43" s="1460"/>
      <c r="E43" s="1460"/>
      <c r="F43" s="1460"/>
      <c r="G43" s="1460"/>
      <c r="H43" s="36"/>
      <c r="I43" s="36"/>
      <c r="J43" s="36"/>
    </row>
    <row r="44" spans="1:10" ht="22.5" customHeight="1" x14ac:dyDescent="0.25">
      <c r="A44" s="36"/>
      <c r="B44" s="1465" t="s">
        <v>1505</v>
      </c>
      <c r="C44" s="1465"/>
      <c r="D44" s="1465"/>
      <c r="E44" s="1465"/>
      <c r="F44" s="1465"/>
      <c r="G44" s="1465"/>
      <c r="H44" s="36"/>
      <c r="I44" s="36"/>
      <c r="J44" s="36"/>
    </row>
    <row r="45" spans="1:10" ht="22.5" customHeight="1" x14ac:dyDescent="0.25">
      <c r="A45" s="36"/>
      <c r="B45" s="1465"/>
      <c r="C45" s="1465"/>
      <c r="D45" s="1465"/>
      <c r="E45" s="1465"/>
      <c r="F45" s="1465"/>
      <c r="G45" s="1465"/>
      <c r="H45" s="36"/>
      <c r="I45" s="36"/>
      <c r="J45" s="36"/>
    </row>
    <row r="46" spans="1:10" ht="13.5" customHeight="1" x14ac:dyDescent="0.25">
      <c r="A46" s="36"/>
      <c r="B46" s="36"/>
      <c r="C46" s="36"/>
      <c r="D46" s="36"/>
      <c r="E46" s="36"/>
      <c r="F46" s="36"/>
      <c r="G46" s="36"/>
      <c r="H46" s="36"/>
      <c r="I46" s="36"/>
      <c r="J46" s="36"/>
    </row>
    <row r="47" spans="1:10" ht="13.5" customHeight="1" thickBot="1" x14ac:dyDescent="0.3">
      <c r="A47" s="36"/>
      <c r="B47" s="36"/>
      <c r="C47" s="36"/>
      <c r="D47" s="36"/>
      <c r="E47" s="36"/>
      <c r="F47" s="36"/>
      <c r="G47" s="36"/>
      <c r="H47" s="36"/>
      <c r="I47" s="36"/>
      <c r="J47" s="36"/>
    </row>
    <row r="48" spans="1:10" ht="24" customHeight="1" thickBot="1" x14ac:dyDescent="0.3">
      <c r="A48" s="36"/>
      <c r="B48" s="1466" t="s">
        <v>1482</v>
      </c>
      <c r="C48" s="1467"/>
      <c r="D48" s="1467"/>
      <c r="E48" s="1467"/>
      <c r="F48" s="1467"/>
      <c r="G48" s="1468"/>
      <c r="H48" s="36"/>
      <c r="I48" s="36"/>
      <c r="J48" s="36"/>
    </row>
    <row r="49" spans="1:10" ht="30" customHeight="1" x14ac:dyDescent="0.25">
      <c r="A49" s="36"/>
      <c r="B49" s="1469" t="s">
        <v>1483</v>
      </c>
      <c r="C49" s="1470"/>
      <c r="D49" s="1470"/>
      <c r="E49" s="1470"/>
      <c r="F49" s="1470"/>
      <c r="G49" s="1471"/>
      <c r="H49" s="36"/>
      <c r="I49" s="36"/>
      <c r="J49" s="36"/>
    </row>
    <row r="50" spans="1:10" ht="30" customHeight="1" x14ac:dyDescent="0.25">
      <c r="A50" s="36"/>
      <c r="B50" s="1472" t="s">
        <v>1484</v>
      </c>
      <c r="C50" s="1472"/>
      <c r="D50" s="1472"/>
      <c r="E50" s="1472"/>
      <c r="F50" s="1472"/>
      <c r="G50" s="909" t="s">
        <v>62</v>
      </c>
      <c r="H50" s="36"/>
      <c r="I50" s="36"/>
      <c r="J50" s="36"/>
    </row>
    <row r="51" spans="1:10" ht="62.25" customHeight="1" x14ac:dyDescent="0.25">
      <c r="A51" s="36"/>
      <c r="B51" s="1472" t="s">
        <v>1485</v>
      </c>
      <c r="C51" s="1472"/>
      <c r="D51" s="1472"/>
      <c r="E51" s="1472"/>
      <c r="F51" s="1472"/>
      <c r="G51" s="909" t="s">
        <v>62</v>
      </c>
      <c r="H51" s="36"/>
      <c r="I51" s="36"/>
      <c r="J51" s="36"/>
    </row>
    <row r="52" spans="1:10" ht="60" customHeight="1" x14ac:dyDescent="0.25">
      <c r="A52" s="36"/>
      <c r="B52" s="1472" t="s">
        <v>1486</v>
      </c>
      <c r="C52" s="1472"/>
      <c r="D52" s="1472"/>
      <c r="E52" s="1472"/>
      <c r="F52" s="1472"/>
      <c r="G52" s="909" t="s">
        <v>62</v>
      </c>
      <c r="H52" s="36"/>
      <c r="I52" s="36"/>
      <c r="J52" s="36"/>
    </row>
    <row r="53" spans="1:10" ht="13.5" customHeight="1" x14ac:dyDescent="0.25">
      <c r="A53" s="36"/>
      <c r="B53" s="36"/>
      <c r="C53" s="36"/>
      <c r="D53" s="36"/>
      <c r="E53" s="36"/>
      <c r="F53" s="36"/>
      <c r="G53" s="36"/>
      <c r="H53" s="36"/>
      <c r="I53" s="36"/>
      <c r="J53" s="36"/>
    </row>
    <row r="54" spans="1:10" ht="13.5" customHeight="1" thickBot="1" x14ac:dyDescent="0.3">
      <c r="A54" s="36"/>
      <c r="B54" s="36"/>
      <c r="C54" s="36"/>
      <c r="D54" s="36"/>
      <c r="E54" s="36"/>
      <c r="F54" s="36"/>
      <c r="G54" s="36"/>
      <c r="H54" s="36"/>
      <c r="I54" s="36"/>
      <c r="J54" s="36"/>
    </row>
    <row r="55" spans="1:10" ht="24" customHeight="1" thickBot="1" x14ac:dyDescent="0.3">
      <c r="A55" s="36"/>
      <c r="B55" s="1466" t="s">
        <v>1487</v>
      </c>
      <c r="C55" s="1467"/>
      <c r="D55" s="1467"/>
      <c r="E55" s="1467"/>
      <c r="F55" s="1467"/>
      <c r="G55" s="1468"/>
      <c r="H55" s="36"/>
      <c r="I55" s="36"/>
      <c r="J55" s="36"/>
    </row>
    <row r="56" spans="1:10" ht="29.25" customHeight="1" x14ac:dyDescent="0.25">
      <c r="A56" s="36"/>
      <c r="B56" s="1473" t="s">
        <v>1488</v>
      </c>
      <c r="C56" s="1474"/>
      <c r="D56" s="1475" t="s">
        <v>1489</v>
      </c>
      <c r="E56" s="1476"/>
      <c r="F56" s="1476"/>
      <c r="G56" s="1477"/>
      <c r="H56" s="910"/>
      <c r="I56" s="36"/>
      <c r="J56" s="36"/>
    </row>
    <row r="57" spans="1:10" x14ac:dyDescent="0.25">
      <c r="A57" s="36"/>
      <c r="B57" s="1460"/>
      <c r="C57" s="1460"/>
      <c r="D57" s="1464"/>
      <c r="E57" s="1464"/>
      <c r="F57" s="1464"/>
      <c r="G57" s="1464"/>
      <c r="H57" s="36"/>
      <c r="I57" s="36"/>
      <c r="J57" s="36"/>
    </row>
    <row r="58" spans="1:10" x14ac:dyDescent="0.25">
      <c r="A58" s="36"/>
      <c r="B58" s="1460"/>
      <c r="C58" s="1460"/>
      <c r="D58" s="1464"/>
      <c r="E58" s="1464"/>
      <c r="F58" s="1464"/>
      <c r="G58" s="1464"/>
      <c r="H58" s="36"/>
      <c r="I58" s="36"/>
      <c r="J58" s="36"/>
    </row>
    <row r="59" spans="1:10" x14ac:dyDescent="0.25">
      <c r="A59" s="36"/>
      <c r="B59" s="1460"/>
      <c r="C59" s="1460"/>
      <c r="D59" s="1464"/>
      <c r="E59" s="1464"/>
      <c r="F59" s="1464"/>
      <c r="G59" s="1464"/>
      <c r="H59" s="36"/>
      <c r="I59" s="36"/>
      <c r="J59" s="36"/>
    </row>
    <row r="60" spans="1:10" x14ac:dyDescent="0.25">
      <c r="A60" s="36"/>
      <c r="B60" s="1460"/>
      <c r="C60" s="1460"/>
      <c r="D60" s="1464"/>
      <c r="E60" s="1464"/>
      <c r="F60" s="1464"/>
      <c r="G60" s="1464"/>
      <c r="H60" s="36"/>
      <c r="I60" s="36"/>
      <c r="J60" s="36"/>
    </row>
    <row r="61" spans="1:10" ht="21" customHeight="1" x14ac:dyDescent="0.25">
      <c r="A61" s="36"/>
      <c r="B61" s="1458" t="s">
        <v>1490</v>
      </c>
      <c r="C61" s="1458"/>
      <c r="D61" s="1459"/>
      <c r="E61" s="1459"/>
      <c r="F61" s="1459"/>
      <c r="G61" s="1459"/>
      <c r="H61" s="36"/>
      <c r="I61" s="36"/>
      <c r="J61" s="36"/>
    </row>
    <row r="62" spans="1:10" ht="21" customHeight="1" x14ac:dyDescent="0.25">
      <c r="A62" s="36"/>
      <c r="B62" s="1458" t="s">
        <v>1475</v>
      </c>
      <c r="C62" s="1458"/>
      <c r="D62" s="1459"/>
      <c r="E62" s="1459"/>
      <c r="F62" s="1459"/>
      <c r="G62" s="1459"/>
      <c r="H62" s="36"/>
      <c r="I62" s="36"/>
      <c r="J62" s="36"/>
    </row>
    <row r="63" spans="1:10" ht="21" customHeight="1" x14ac:dyDescent="0.25">
      <c r="A63" s="36"/>
      <c r="B63" s="1458" t="s">
        <v>225</v>
      </c>
      <c r="C63" s="1458"/>
      <c r="D63" s="1459"/>
      <c r="E63" s="1459"/>
      <c r="F63" s="1459"/>
      <c r="G63" s="1459"/>
      <c r="H63" s="36"/>
      <c r="I63" s="36"/>
      <c r="J63" s="36"/>
    </row>
    <row r="64" spans="1:10" ht="21" customHeight="1" x14ac:dyDescent="0.25">
      <c r="A64" s="36"/>
      <c r="B64" s="1458" t="s">
        <v>1491</v>
      </c>
      <c r="C64" s="1458"/>
      <c r="D64" s="1459"/>
      <c r="E64" s="1459"/>
      <c r="F64" s="1459"/>
      <c r="G64" s="1459"/>
      <c r="H64" s="36"/>
      <c r="I64" s="36"/>
      <c r="J64" s="36"/>
    </row>
    <row r="65" spans="1:10" ht="33" customHeight="1" x14ac:dyDescent="0.25">
      <c r="A65" s="36"/>
      <c r="B65" s="1458" t="s">
        <v>1492</v>
      </c>
      <c r="C65" s="1458"/>
      <c r="D65" s="1460"/>
      <c r="E65" s="1460"/>
      <c r="F65" s="1460"/>
      <c r="G65" s="1460"/>
      <c r="H65" s="36"/>
      <c r="I65" s="36"/>
      <c r="J65" s="36"/>
    </row>
    <row r="66" spans="1:10" x14ac:dyDescent="0.25">
      <c r="A66" s="36"/>
      <c r="B66" s="36"/>
      <c r="C66" s="36"/>
      <c r="D66" s="36"/>
      <c r="E66" s="36"/>
      <c r="F66" s="36"/>
      <c r="G66" s="36"/>
      <c r="H66" s="36"/>
      <c r="I66" s="36"/>
      <c r="J66" s="36"/>
    </row>
    <row r="67" spans="1:10" x14ac:dyDescent="0.25">
      <c r="A67" s="36"/>
      <c r="B67" s="36"/>
      <c r="C67" s="36"/>
      <c r="D67" s="36"/>
      <c r="E67" s="36"/>
      <c r="F67" s="36"/>
      <c r="G67" s="36"/>
      <c r="H67" s="36"/>
      <c r="I67" s="36"/>
      <c r="J67" s="36"/>
    </row>
    <row r="68" spans="1:10" ht="21" customHeight="1" x14ac:dyDescent="0.25">
      <c r="A68" s="36"/>
      <c r="B68" s="1461" t="s">
        <v>1493</v>
      </c>
      <c r="C68" s="1462"/>
      <c r="D68" s="1462"/>
      <c r="E68" s="1462"/>
      <c r="F68" s="1462"/>
      <c r="G68" s="1463"/>
      <c r="H68" s="36"/>
      <c r="I68" s="36"/>
      <c r="J68" s="36"/>
    </row>
    <row r="69" spans="1:10" ht="18" customHeight="1" x14ac:dyDescent="0.25">
      <c r="A69" s="36"/>
      <c r="B69" s="1443" t="s">
        <v>1494</v>
      </c>
      <c r="C69" s="1444"/>
      <c r="D69" s="1444"/>
      <c r="E69" s="1444"/>
      <c r="F69" s="1444"/>
      <c r="G69" s="1445"/>
      <c r="H69" s="36"/>
      <c r="I69" s="36"/>
      <c r="J69" s="36"/>
    </row>
    <row r="70" spans="1:10" ht="30" customHeight="1" x14ac:dyDescent="0.25">
      <c r="A70" s="36"/>
      <c r="B70" s="1443" t="s">
        <v>2856</v>
      </c>
      <c r="C70" s="1444"/>
      <c r="D70" s="1444"/>
      <c r="E70" s="1444"/>
      <c r="F70" s="1444"/>
      <c r="G70" s="1445"/>
      <c r="H70" s="36"/>
      <c r="I70" s="36"/>
      <c r="J70" s="36"/>
    </row>
    <row r="71" spans="1:10" ht="21" customHeight="1" x14ac:dyDescent="0.25">
      <c r="A71" s="36"/>
      <c r="B71" s="1446" t="s">
        <v>1495</v>
      </c>
      <c r="C71" s="1447"/>
      <c r="D71" s="1447"/>
      <c r="E71" s="1447"/>
      <c r="F71" s="1447"/>
      <c r="G71" s="1448"/>
      <c r="H71" s="36"/>
      <c r="I71" s="36"/>
      <c r="J71" s="36"/>
    </row>
    <row r="72" spans="1:10" x14ac:dyDescent="0.25">
      <c r="A72" s="36"/>
      <c r="B72" s="36"/>
      <c r="C72" s="36"/>
      <c r="D72" s="36"/>
      <c r="E72" s="36"/>
      <c r="F72" s="36"/>
      <c r="G72" s="36"/>
      <c r="H72" s="36"/>
      <c r="I72" s="36"/>
      <c r="J72" s="36"/>
    </row>
    <row r="73" spans="1:10" x14ac:dyDescent="0.25">
      <c r="A73" s="36"/>
      <c r="B73" s="36"/>
      <c r="C73" s="36"/>
      <c r="D73" s="36"/>
      <c r="E73" s="36"/>
      <c r="F73" s="36"/>
      <c r="G73" s="36"/>
      <c r="H73" s="36"/>
      <c r="I73" s="36"/>
      <c r="J73" s="36"/>
    </row>
    <row r="74" spans="1:10" ht="18" customHeight="1" x14ac:dyDescent="0.25">
      <c r="A74" s="36"/>
      <c r="B74" s="1449" t="s">
        <v>1496</v>
      </c>
      <c r="C74" s="1449"/>
      <c r="D74" s="1449"/>
      <c r="E74" s="1449"/>
      <c r="F74" s="1449"/>
      <c r="G74" s="1449"/>
      <c r="H74" s="36"/>
      <c r="I74" s="36"/>
      <c r="J74" s="36"/>
    </row>
    <row r="75" spans="1:10" ht="33.75" customHeight="1" x14ac:dyDescent="0.25">
      <c r="A75" s="36"/>
      <c r="B75" s="1450" t="s">
        <v>1497</v>
      </c>
      <c r="C75" s="1450"/>
      <c r="D75" s="1450"/>
      <c r="E75" s="1450"/>
      <c r="F75" s="1450"/>
      <c r="G75" s="1450"/>
      <c r="H75" s="36"/>
      <c r="I75" s="36"/>
      <c r="J75" s="36"/>
    </row>
    <row r="76" spans="1:10" ht="58.5" customHeight="1" x14ac:dyDescent="0.25">
      <c r="A76" s="36"/>
      <c r="B76" s="1450" t="s">
        <v>1498</v>
      </c>
      <c r="C76" s="1450"/>
      <c r="D76" s="1450"/>
      <c r="E76" s="1450"/>
      <c r="F76" s="1450"/>
      <c r="G76" s="1450"/>
      <c r="H76" s="36"/>
      <c r="I76" s="36"/>
      <c r="J76" s="36"/>
    </row>
    <row r="77" spans="1:10" ht="31.5" customHeight="1" x14ac:dyDescent="0.25">
      <c r="A77" s="36"/>
      <c r="B77" s="1450" t="s">
        <v>1499</v>
      </c>
      <c r="C77" s="1450"/>
      <c r="D77" s="1450"/>
      <c r="E77" s="1450"/>
      <c r="F77" s="1450"/>
      <c r="G77" s="1450"/>
      <c r="H77" s="36"/>
      <c r="I77" s="36"/>
      <c r="J77" s="36"/>
    </row>
    <row r="78" spans="1:10" x14ac:dyDescent="0.25">
      <c r="A78" s="36"/>
      <c r="B78" s="36"/>
      <c r="C78" s="36"/>
      <c r="D78" s="36"/>
      <c r="E78" s="36"/>
      <c r="F78" s="36"/>
      <c r="G78" s="36"/>
      <c r="H78" s="36"/>
      <c r="I78" s="36"/>
      <c r="J78" s="36"/>
    </row>
    <row r="79" spans="1:10" ht="21" customHeight="1" thickBot="1" x14ac:dyDescent="0.3">
      <c r="A79" s="36"/>
      <c r="B79" s="1451" t="s">
        <v>1500</v>
      </c>
      <c r="C79" s="1452"/>
      <c r="D79" s="1452"/>
      <c r="E79" s="1452"/>
      <c r="F79" s="1452"/>
      <c r="G79" s="1452"/>
      <c r="H79" s="36"/>
      <c r="I79" s="36"/>
      <c r="J79" s="36"/>
    </row>
    <row r="80" spans="1:10" ht="21" customHeight="1" thickBot="1" x14ac:dyDescent="0.3">
      <c r="A80" s="36"/>
      <c r="B80" s="1453" t="s">
        <v>1501</v>
      </c>
      <c r="C80" s="1454"/>
      <c r="D80" s="1455"/>
      <c r="E80" s="1456"/>
      <c r="F80" s="1456"/>
      <c r="G80" s="1457"/>
      <c r="H80" s="36"/>
      <c r="I80" s="36"/>
      <c r="J80" s="36"/>
    </row>
    <row r="81" spans="1:12" ht="21" customHeight="1" thickBot="1" x14ac:dyDescent="0.3">
      <c r="A81" s="36"/>
      <c r="B81" s="1453" t="s">
        <v>1502</v>
      </c>
      <c r="C81" s="1454"/>
      <c r="D81" s="1455"/>
      <c r="E81" s="1456"/>
      <c r="F81" s="1456"/>
      <c r="G81" s="1457"/>
      <c r="I81" s="36"/>
      <c r="J81" s="36"/>
    </row>
    <row r="82" spans="1:12" x14ac:dyDescent="0.25">
      <c r="A82" s="36"/>
      <c r="B82" s="36"/>
      <c r="C82" s="36"/>
      <c r="D82" s="36"/>
      <c r="E82" s="36"/>
      <c r="F82" s="36"/>
      <c r="G82" s="36"/>
      <c r="H82" s="36"/>
      <c r="I82" s="36"/>
      <c r="J82" s="36"/>
    </row>
    <row r="83" spans="1:12" x14ac:dyDescent="0.25">
      <c r="A83" s="36"/>
      <c r="B83" s="36"/>
      <c r="C83" s="36"/>
      <c r="D83" s="36"/>
      <c r="E83" s="36"/>
      <c r="F83" s="36"/>
      <c r="G83" s="36"/>
      <c r="H83" s="36"/>
      <c r="I83" s="36"/>
      <c r="J83" s="36"/>
    </row>
    <row r="84" spans="1:12" hidden="1" x14ac:dyDescent="0.25"/>
    <row r="85" spans="1:12" hidden="1" x14ac:dyDescent="0.25">
      <c r="K85" s="1442"/>
      <c r="L85" s="1442"/>
    </row>
    <row r="86" spans="1:12" hidden="1" x14ac:dyDescent="0.25"/>
    <row r="87" spans="1:12" hidden="1" x14ac:dyDescent="0.25"/>
    <row r="88" spans="1:12" hidden="1" x14ac:dyDescent="0.25"/>
    <row r="89" spans="1:12" ht="15" hidden="1" customHeight="1" x14ac:dyDescent="0.25"/>
    <row r="90" spans="1:12" ht="15" hidden="1" customHeight="1" x14ac:dyDescent="0.25"/>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algorithmName="SHA-512" hashValue="GEaZ6s2hLrUsR0g8J0pDuS1C0lr0Gnq0SVAz1mawPVKQajQEmGR/lnDghx2ZLT6XlMGrzePHTmW1GWQduQcT/g==" saltValue="JyspcjYxWTEWJmcmJ0b1+g==" spinCount="100000" sheet="1" objects="1" scenarios="1"/>
  <mergeCells count="86">
    <mergeCell ref="B7:C7"/>
    <mergeCell ref="D7:G7"/>
    <mergeCell ref="A1:F1"/>
    <mergeCell ref="A3:F3"/>
    <mergeCell ref="B5:G5"/>
    <mergeCell ref="B6:C6"/>
    <mergeCell ref="D6:G6"/>
    <mergeCell ref="B13:C13"/>
    <mergeCell ref="D13:G13"/>
    <mergeCell ref="B14:G14"/>
    <mergeCell ref="B15:G22"/>
    <mergeCell ref="B8:C8"/>
    <mergeCell ref="D8:G8"/>
    <mergeCell ref="B9:C10"/>
    <mergeCell ref="D9:G10"/>
    <mergeCell ref="B11:C12"/>
    <mergeCell ref="D11:G12"/>
    <mergeCell ref="B30:C30"/>
    <mergeCell ref="D30:G30"/>
    <mergeCell ref="B23:C23"/>
    <mergeCell ref="D23:G23"/>
    <mergeCell ref="B24:C24"/>
    <mergeCell ref="D24:G24"/>
    <mergeCell ref="B25:C25"/>
    <mergeCell ref="D25:G25"/>
    <mergeCell ref="B26:C26"/>
    <mergeCell ref="D26:G26"/>
    <mergeCell ref="B28:G28"/>
    <mergeCell ref="B29:C29"/>
    <mergeCell ref="D29:G29"/>
    <mergeCell ref="B39:C39"/>
    <mergeCell ref="D39:G39"/>
    <mergeCell ref="B31:C31"/>
    <mergeCell ref="D31:G31"/>
    <mergeCell ref="B32:C32"/>
    <mergeCell ref="D32:G32"/>
    <mergeCell ref="B33:C33"/>
    <mergeCell ref="D33:G33"/>
    <mergeCell ref="B36:G36"/>
    <mergeCell ref="B37:C37"/>
    <mergeCell ref="D37:G37"/>
    <mergeCell ref="B38:C38"/>
    <mergeCell ref="D38:G38"/>
    <mergeCell ref="B40:C40"/>
    <mergeCell ref="D40:G40"/>
    <mergeCell ref="B41:C41"/>
    <mergeCell ref="D41:G41"/>
    <mergeCell ref="B42:C42"/>
    <mergeCell ref="D42:G42"/>
    <mergeCell ref="B57:C60"/>
    <mergeCell ref="D57:G60"/>
    <mergeCell ref="B43:C43"/>
    <mergeCell ref="D43:G43"/>
    <mergeCell ref="B44:G45"/>
    <mergeCell ref="B48:G48"/>
    <mergeCell ref="B49:G49"/>
    <mergeCell ref="B50:F50"/>
    <mergeCell ref="B51:F51"/>
    <mergeCell ref="B52:F52"/>
    <mergeCell ref="B55:G55"/>
    <mergeCell ref="B56:C56"/>
    <mergeCell ref="D56:G56"/>
    <mergeCell ref="B69:G69"/>
    <mergeCell ref="B61:C61"/>
    <mergeCell ref="D61:G61"/>
    <mergeCell ref="B62:C62"/>
    <mergeCell ref="D62:G62"/>
    <mergeCell ref="B63:C63"/>
    <mergeCell ref="D63:G63"/>
    <mergeCell ref="B64:C64"/>
    <mergeCell ref="D64:G64"/>
    <mergeCell ref="B65:C65"/>
    <mergeCell ref="D65:G65"/>
    <mergeCell ref="B68:G68"/>
    <mergeCell ref="K85:L85"/>
    <mergeCell ref="B70:G70"/>
    <mergeCell ref="B71:G71"/>
    <mergeCell ref="B74:G74"/>
    <mergeCell ref="B75:G75"/>
    <mergeCell ref="B76:G76"/>
    <mergeCell ref="B77:G77"/>
    <mergeCell ref="B79:G79"/>
    <mergeCell ref="B80:C80"/>
    <mergeCell ref="D80:G80"/>
    <mergeCell ref="B81:C81"/>
    <mergeCell ref="D81:G81"/>
  </mergeCells>
  <dataValidations count="5">
    <dataValidation type="list" allowBlank="1" showInputMessage="1" showErrorMessage="1" sqref="D25:G25">
      <formula1>"Select,Certified,Silver,Gold,Platinum"</formula1>
    </dataValidation>
    <dataValidation type="list" allowBlank="1" showInputMessage="1" showErrorMessage="1" sqref="D26:G26 G50:G52">
      <formula1>"Select,Yes,No"</formula1>
    </dataValidation>
    <dataValidation allowBlank="1" showInputMessage="1" showErrorMessage="1" prompt="New fit-out, renovation, extension, etc.?" sqref="D9:G10"/>
    <dataValidation allowBlank="1" showInputMessage="1" showErrorMessage="1" prompt="Such as: office, retail, supermarket, restaurant, etc." sqref="D8:G8"/>
    <dataValidation allowBlank="1" showInputMessage="1" showErrorMessage="1" prompt="Also, describe if there is a basement." sqref="D13:G13"/>
  </dataValidations>
  <pageMargins left="0.7" right="0.7" top="0.75" bottom="0.75" header="0.3" footer="0.3"/>
  <pageSetup paperSize="9" orientation="portrait" horizontalDpi="300" verticalDpi="0" r:id="rId1"/>
  <rowBreaks count="2" manualBreakCount="2">
    <brk id="27" max="16383" man="1"/>
    <brk id="5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8</vt:i4>
      </vt:variant>
    </vt:vector>
  </HeadingPairs>
  <TitlesOfParts>
    <vt:vector size="69" baseType="lpstr">
      <vt:lpstr>Submittals</vt:lpstr>
      <vt:lpstr>Home</vt:lpstr>
      <vt:lpstr>Acknowledgments</vt:lpstr>
      <vt:lpstr>Introduction</vt:lpstr>
      <vt:lpstr>Instructions</vt:lpstr>
      <vt:lpstr>Recommendations</vt:lpstr>
      <vt:lpstr>LOTUS Interiors Eligibility</vt:lpstr>
      <vt:lpstr>Project information</vt:lpstr>
      <vt:lpstr>Application Form</vt:lpstr>
      <vt:lpstr>Prov. Certification checklist</vt:lpstr>
      <vt:lpstr>Full Certification checklist </vt:lpstr>
      <vt:lpstr>LOTUS Interiors Scorecard</vt:lpstr>
      <vt:lpstr>Graphical Results</vt:lpstr>
      <vt:lpstr>Energy</vt:lpstr>
      <vt:lpstr>E-1 Space cooling</vt:lpstr>
      <vt:lpstr>E-2 Artificial Lighting</vt:lpstr>
      <vt:lpstr>E-3 Energy Efficient Appliances</vt:lpstr>
      <vt:lpstr>E-4 Energy Monitoring</vt:lpstr>
      <vt:lpstr>Water</vt:lpstr>
      <vt:lpstr>W-PR-1 &amp; W-1 Efficient Fixtures</vt:lpstr>
      <vt:lpstr>W-2 Drinking Water </vt:lpstr>
      <vt:lpstr>Materials</vt:lpstr>
      <vt:lpstr>Materials Glossary</vt:lpstr>
      <vt:lpstr>M-1 Sustainable Materials</vt:lpstr>
      <vt:lpstr>M-2 Sustainable Furniture</vt:lpstr>
      <vt:lpstr>Waste &amp; Pollution</vt:lpstr>
      <vt:lpstr>WP-1 Refrigerants</vt:lpstr>
      <vt:lpstr>WP-PR-1 &amp; WP-2 Fit-out Waste</vt:lpstr>
      <vt:lpstr>WP-3 Operation Waste Management</vt:lpstr>
      <vt:lpstr>Health &amp; Comfort</vt:lpstr>
      <vt:lpstr>H-PR-1 Indoor Smoking</vt:lpstr>
      <vt:lpstr>H-1 Fresh Air Supply</vt:lpstr>
      <vt:lpstr>H-2 CO2 Monitoring</vt:lpstr>
      <vt:lpstr>H-3 Low-VOC Emissions </vt:lpstr>
      <vt:lpstr>H-4 Removal of pollutants</vt:lpstr>
      <vt:lpstr>H-5 Interior Plants</vt:lpstr>
      <vt:lpstr>H-6 Green Cleaning</vt:lpstr>
      <vt:lpstr>H-7 Daylighting</vt:lpstr>
      <vt:lpstr>H-8 External Views</vt:lpstr>
      <vt:lpstr>H-9 Lighting Comfort</vt:lpstr>
      <vt:lpstr>H-10 Thermal Comfort</vt:lpstr>
      <vt:lpstr>H-11 Acoustic Comfort</vt:lpstr>
      <vt:lpstr>H-12 Post-occupancy Comfort</vt:lpstr>
      <vt:lpstr>Location &amp; Transportation</vt:lpstr>
      <vt:lpstr>LT-1 Base building </vt:lpstr>
      <vt:lpstr>LT-2 Tenancy lease</vt:lpstr>
      <vt:lpstr>LT-3 Green Transportation </vt:lpstr>
      <vt:lpstr>LT-4 Facilities and amenities </vt:lpstr>
      <vt:lpstr>Management</vt:lpstr>
      <vt:lpstr>Man-1 LOTUS AP</vt:lpstr>
      <vt:lpstr>Man-2 Construction Stage</vt:lpstr>
      <vt:lpstr>Man-3 Commissioning</vt:lpstr>
      <vt:lpstr>Man-4 Maintenance</vt:lpstr>
      <vt:lpstr>Man-5 Green Awareness </vt:lpstr>
      <vt:lpstr>Innovation</vt:lpstr>
      <vt:lpstr>Inn-1 Exceptional Performance </vt:lpstr>
      <vt:lpstr>Inn-2 Innovative Techniques</vt:lpstr>
      <vt:lpstr>Additional information</vt:lpstr>
      <vt:lpstr>Glossary</vt:lpstr>
      <vt:lpstr>Resources</vt:lpstr>
      <vt:lpstr>Feedback</vt:lpstr>
      <vt:lpstr>'Application Form'!Print_Area</vt:lpstr>
      <vt:lpstr>Process_type</vt:lpstr>
      <vt:lpstr>space_type_acoustic</vt:lpstr>
      <vt:lpstr>space_types</vt:lpstr>
      <vt:lpstr>Sub_FC</vt:lpstr>
      <vt:lpstr>Sustainable_furniture</vt:lpstr>
      <vt:lpstr>Sustainable_Materials</vt:lpstr>
      <vt:lpstr>type_AC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cp:lastModifiedBy>
  <cp:lastPrinted>2016-06-29T02:50:07Z</cp:lastPrinted>
  <dcterms:created xsi:type="dcterms:W3CDTF">2015-09-08T04:37:16Z</dcterms:created>
  <dcterms:modified xsi:type="dcterms:W3CDTF">2018-08-20T03:04:15Z</dcterms:modified>
</cp:coreProperties>
</file>